
<file path=[Content_Types].xml><?xml version="1.0" encoding="utf-8"?>
<Types xmlns="http://schemas.openxmlformats.org/package/2006/content-types">
  <Default Extension="bin" ContentType="application/vnd.openxmlformats-officedocument.spreadsheetml.printerSettings"/>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27.xml" ContentType="application/vnd.openxmlformats-officedocument.spreadsheetml.externalLink+xml"/>
  <Override PartName="/xl/charts/chart2.xml" ContentType="application/vnd.openxmlformats-officedocument.drawingml.chart+xml"/>
  <Override PartName="/xl/charts/chart3.xml" ContentType="application/vnd.openxmlformats-officedocument.drawingml.char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charts/chart1.xml" ContentType="application/vnd.openxmlformats-officedocument.drawingml.chart+xml"/>
  <Override PartName="/xl/drawings/drawing2.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calcChain.xml" ContentType="application/vnd.openxmlformats-officedocument.spreadsheetml.calcChain+xml"/>
  <Override PartName="/xl/externalLinks/externalLink10.xml" ContentType="application/vnd.openxmlformats-officedocument.spreadsheetml.externalLink+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630" yWindow="795" windowWidth="15480" windowHeight="5940"/>
  </bookViews>
  <sheets>
    <sheet name="Critérios" sheetId="1" r:id="rId1"/>
    <sheet name="Dimensões" sheetId="2" r:id="rId2"/>
    <sheet name="Indicadores" sheetId="3" r:id="rId3"/>
    <sheet name="Graficos" sheetId="4" r:id="rId4"/>
  </sheets>
  <externalReferences>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s>
  <calcPr calcId="124519"/>
</workbook>
</file>

<file path=xl/calcChain.xml><?xml version="1.0" encoding="utf-8"?>
<calcChain xmlns="http://schemas.openxmlformats.org/spreadsheetml/2006/main">
  <c r="G147" i="1"/>
  <c r="G481" l="1"/>
  <c r="G131" l="1"/>
  <c r="G450" l="1"/>
  <c r="G10" l="1"/>
  <c r="G11"/>
  <c r="G12"/>
  <c r="G13"/>
  <c r="G14"/>
  <c r="I6" i="2" s="1"/>
  <c r="R34" i="3"/>
  <c r="R33"/>
  <c r="R32"/>
  <c r="B31"/>
  <c r="B30"/>
  <c r="B29"/>
  <c r="B27"/>
  <c r="B26"/>
  <c r="B25"/>
  <c r="B24"/>
  <c r="B23"/>
  <c r="B22"/>
  <c r="B21"/>
  <c r="B20"/>
  <c r="B19"/>
  <c r="B18"/>
  <c r="B17"/>
  <c r="B16"/>
  <c r="B15"/>
  <c r="B14"/>
  <c r="B13"/>
  <c r="B12"/>
  <c r="B11"/>
  <c r="B10"/>
  <c r="B9"/>
  <c r="B8"/>
  <c r="B7"/>
  <c r="B6"/>
  <c r="B5"/>
  <c r="G664" i="1"/>
  <c r="G663"/>
  <c r="G662"/>
  <c r="G661"/>
  <c r="G660"/>
  <c r="G659"/>
  <c r="G658"/>
  <c r="G657"/>
  <c r="G656"/>
  <c r="C656"/>
  <c r="G655"/>
  <c r="G654"/>
  <c r="G653"/>
  <c r="G652"/>
  <c r="G651"/>
  <c r="G650"/>
  <c r="G649"/>
  <c r="G648"/>
  <c r="G647"/>
  <c r="G646"/>
  <c r="I84" i="2" s="1"/>
  <c r="C646" i="1"/>
  <c r="G643"/>
  <c r="G642"/>
  <c r="G641"/>
  <c r="G640"/>
  <c r="G639"/>
  <c r="G638"/>
  <c r="G637"/>
  <c r="G636"/>
  <c r="I83" i="2" s="1"/>
  <c r="C636" i="1"/>
  <c r="G635"/>
  <c r="G634"/>
  <c r="G633"/>
  <c r="G632"/>
  <c r="G631"/>
  <c r="G630"/>
  <c r="G629"/>
  <c r="G628"/>
  <c r="G627"/>
  <c r="G626"/>
  <c r="G625"/>
  <c r="G624"/>
  <c r="I82" i="2" s="1"/>
  <c r="C624" i="1"/>
  <c r="G623"/>
  <c r="G622"/>
  <c r="G621"/>
  <c r="G620"/>
  <c r="G619"/>
  <c r="G618"/>
  <c r="C618"/>
  <c r="G617"/>
  <c r="G616"/>
  <c r="G615"/>
  <c r="G614"/>
  <c r="G613"/>
  <c r="G612"/>
  <c r="I80" i="2" s="1"/>
  <c r="C612" i="1"/>
  <c r="G608"/>
  <c r="E608"/>
  <c r="G607"/>
  <c r="E607"/>
  <c r="G606"/>
  <c r="E606"/>
  <c r="G605"/>
  <c r="E605"/>
  <c r="G604"/>
  <c r="E604"/>
  <c r="G603"/>
  <c r="E603"/>
  <c r="C602"/>
  <c r="G601"/>
  <c r="E601"/>
  <c r="G600"/>
  <c r="E600"/>
  <c r="G599"/>
  <c r="E599"/>
  <c r="G598"/>
  <c r="E598"/>
  <c r="G597"/>
  <c r="E597"/>
  <c r="G596"/>
  <c r="E596"/>
  <c r="C595"/>
  <c r="G594"/>
  <c r="E594"/>
  <c r="G593"/>
  <c r="E593"/>
  <c r="G592"/>
  <c r="E592"/>
  <c r="G591"/>
  <c r="E591"/>
  <c r="G590"/>
  <c r="E590"/>
  <c r="G589"/>
  <c r="E589"/>
  <c r="C588"/>
  <c r="G587"/>
  <c r="E587"/>
  <c r="G586"/>
  <c r="E586"/>
  <c r="G585"/>
  <c r="E585"/>
  <c r="G584"/>
  <c r="E584"/>
  <c r="G583"/>
  <c r="E583"/>
  <c r="G582"/>
  <c r="E582"/>
  <c r="G581" s="1"/>
  <c r="C581"/>
  <c r="G578"/>
  <c r="G577"/>
  <c r="G576"/>
  <c r="G575"/>
  <c r="G574"/>
  <c r="G573"/>
  <c r="G572"/>
  <c r="I75" i="2" s="1"/>
  <c r="C572" i="1"/>
  <c r="G571"/>
  <c r="G570"/>
  <c r="G569"/>
  <c r="G568"/>
  <c r="I74" i="2" s="1"/>
  <c r="C568" i="1"/>
  <c r="G567"/>
  <c r="G566"/>
  <c r="G565"/>
  <c r="G564"/>
  <c r="G563"/>
  <c r="G562"/>
  <c r="C562"/>
  <c r="G559"/>
  <c r="G558"/>
  <c r="G557"/>
  <c r="G556"/>
  <c r="G555"/>
  <c r="I72" i="2" s="1"/>
  <c r="C555" i="1"/>
  <c r="G554"/>
  <c r="G553"/>
  <c r="G552"/>
  <c r="G551"/>
  <c r="G550"/>
  <c r="G549"/>
  <c r="C549"/>
  <c r="G548"/>
  <c r="G547"/>
  <c r="G546"/>
  <c r="G545"/>
  <c r="G544"/>
  <c r="I70" i="2" s="1"/>
  <c r="C544" i="1"/>
  <c r="G541"/>
  <c r="G540"/>
  <c r="G539"/>
  <c r="G538"/>
  <c r="G537"/>
  <c r="I69" i="2" s="1"/>
  <c r="C537" i="1"/>
  <c r="G536"/>
  <c r="G535"/>
  <c r="G534"/>
  <c r="G533"/>
  <c r="G532"/>
  <c r="G531"/>
  <c r="I68" i="2" s="1"/>
  <c r="C531" i="1"/>
  <c r="G530"/>
  <c r="G529"/>
  <c r="G528"/>
  <c r="G527"/>
  <c r="G526"/>
  <c r="G525"/>
  <c r="I67" i="2" s="1"/>
  <c r="C525" i="1"/>
  <c r="G524"/>
  <c r="G523"/>
  <c r="G522"/>
  <c r="G521"/>
  <c r="G520"/>
  <c r="G519"/>
  <c r="C519"/>
  <c r="G515"/>
  <c r="G514"/>
  <c r="G513"/>
  <c r="G512"/>
  <c r="G511"/>
  <c r="G510"/>
  <c r="I65" i="2" s="1"/>
  <c r="C510" i="1"/>
  <c r="G509"/>
  <c r="G508"/>
  <c r="G507"/>
  <c r="G506"/>
  <c r="G505"/>
  <c r="G504"/>
  <c r="G503"/>
  <c r="I64" i="2" s="1"/>
  <c r="C503" i="1"/>
  <c r="G502"/>
  <c r="G501"/>
  <c r="G500"/>
  <c r="G499"/>
  <c r="G498"/>
  <c r="G497"/>
  <c r="G496"/>
  <c r="I63" i="2" s="1"/>
  <c r="C496" i="1"/>
  <c r="G493"/>
  <c r="G492"/>
  <c r="G491"/>
  <c r="G490"/>
  <c r="G489"/>
  <c r="G488"/>
  <c r="C488"/>
  <c r="G487"/>
  <c r="G486"/>
  <c r="G485"/>
  <c r="G484"/>
  <c r="G483"/>
  <c r="G482"/>
  <c r="I61" i="2" s="1"/>
  <c r="C482" i="1"/>
  <c r="G480"/>
  <c r="G479"/>
  <c r="G478"/>
  <c r="G477"/>
  <c r="I60" i="2" s="1"/>
  <c r="C477" i="1"/>
  <c r="G470"/>
  <c r="G466"/>
  <c r="G461"/>
  <c r="G460"/>
  <c r="I59" i="2" s="1"/>
  <c r="C460" i="1"/>
  <c r="G457"/>
  <c r="G456"/>
  <c r="G455"/>
  <c r="G454"/>
  <c r="G453"/>
  <c r="G452"/>
  <c r="G451"/>
  <c r="G449"/>
  <c r="I58" i="2" s="1"/>
  <c r="C449" i="1"/>
  <c r="G448"/>
  <c r="G447"/>
  <c r="G446"/>
  <c r="G445"/>
  <c r="G444"/>
  <c r="I57" i="2" s="1"/>
  <c r="C444" i="1"/>
  <c r="G443"/>
  <c r="G442"/>
  <c r="G441"/>
  <c r="G440"/>
  <c r="G439"/>
  <c r="G438"/>
  <c r="G437"/>
  <c r="G436"/>
  <c r="G435"/>
  <c r="G434"/>
  <c r="I56" i="2" s="1"/>
  <c r="C434" i="1"/>
  <c r="G431"/>
  <c r="G430"/>
  <c r="G429"/>
  <c r="G428"/>
  <c r="G427"/>
  <c r="I55" i="2" s="1"/>
  <c r="C427" i="1"/>
  <c r="G426"/>
  <c r="G425"/>
  <c r="G424"/>
  <c r="G423"/>
  <c r="G422"/>
  <c r="G421"/>
  <c r="G420"/>
  <c r="I54" i="2" s="1"/>
  <c r="C420" i="1"/>
  <c r="G419"/>
  <c r="G418"/>
  <c r="G417"/>
  <c r="G416"/>
  <c r="G415"/>
  <c r="I53" i="2" s="1"/>
  <c r="C415" i="1"/>
  <c r="E414"/>
  <c r="E413"/>
  <c r="E412"/>
  <c r="E411"/>
  <c r="E410"/>
  <c r="E409"/>
  <c r="E408"/>
  <c r="E407"/>
  <c r="G406"/>
  <c r="E406"/>
  <c r="G405"/>
  <c r="E405"/>
  <c r="E404"/>
  <c r="E403"/>
  <c r="E402"/>
  <c r="E401"/>
  <c r="E400"/>
  <c r="E399"/>
  <c r="E398"/>
  <c r="E397"/>
  <c r="E396"/>
  <c r="E395"/>
  <c r="E394"/>
  <c r="E393"/>
  <c r="E392"/>
  <c r="E391"/>
  <c r="E390"/>
  <c r="G389"/>
  <c r="E389"/>
  <c r="C388"/>
  <c r="G385"/>
  <c r="G384"/>
  <c r="G383"/>
  <c r="G382"/>
  <c r="G381"/>
  <c r="G380"/>
  <c r="G379"/>
  <c r="G378"/>
  <c r="G377"/>
  <c r="G376"/>
  <c r="I51" i="2" s="1"/>
  <c r="C376" i="1"/>
  <c r="G375"/>
  <c r="G374"/>
  <c r="G373"/>
  <c r="G372"/>
  <c r="G371"/>
  <c r="G370"/>
  <c r="I50" i="2" s="1"/>
  <c r="C370" i="1"/>
  <c r="G366"/>
  <c r="G365"/>
  <c r="G364"/>
  <c r="G363"/>
  <c r="G362"/>
  <c r="G361"/>
  <c r="G360"/>
  <c r="G359"/>
  <c r="G358"/>
  <c r="C358"/>
  <c r="G357"/>
  <c r="G356"/>
  <c r="G355"/>
  <c r="G354"/>
  <c r="G353"/>
  <c r="G352"/>
  <c r="I48" i="2" s="1"/>
  <c r="C352" i="1"/>
  <c r="G349"/>
  <c r="G348"/>
  <c r="G347"/>
  <c r="G346"/>
  <c r="G345"/>
  <c r="G344"/>
  <c r="G343"/>
  <c r="I47" i="2" s="1"/>
  <c r="C343" i="1"/>
  <c r="G342"/>
  <c r="G341"/>
  <c r="G340"/>
  <c r="G339"/>
  <c r="G338"/>
  <c r="C338"/>
  <c r="G335"/>
  <c r="G334"/>
  <c r="G333"/>
  <c r="G332"/>
  <c r="G331"/>
  <c r="I45" i="2" s="1"/>
  <c r="C331" i="1"/>
  <c r="H329"/>
  <c r="G328"/>
  <c r="G327"/>
  <c r="G326"/>
  <c r="G325"/>
  <c r="G324"/>
  <c r="G323"/>
  <c r="G322"/>
  <c r="G321"/>
  <c r="I44" i="2" s="1"/>
  <c r="C321" i="1"/>
  <c r="G320"/>
  <c r="G319"/>
  <c r="G318"/>
  <c r="G317"/>
  <c r="G316"/>
  <c r="I43" i="2" s="1"/>
  <c r="C316" i="1"/>
  <c r="G313"/>
  <c r="G312"/>
  <c r="G311"/>
  <c r="G310"/>
  <c r="G309"/>
  <c r="I42" i="2" s="1"/>
  <c r="C309" i="1"/>
  <c r="G308"/>
  <c r="G307"/>
  <c r="G306"/>
  <c r="G305"/>
  <c r="G304"/>
  <c r="G303"/>
  <c r="G302"/>
  <c r="G301"/>
  <c r="G300"/>
  <c r="I41" i="2" s="1"/>
  <c r="C300" i="1"/>
  <c r="G299"/>
  <c r="G298"/>
  <c r="G297"/>
  <c r="G296"/>
  <c r="G295"/>
  <c r="I40" i="2" s="1"/>
  <c r="C295" i="1"/>
  <c r="G294"/>
  <c r="G293"/>
  <c r="G292"/>
  <c r="G291"/>
  <c r="G290"/>
  <c r="I39" i="2" s="1"/>
  <c r="C290" i="1"/>
  <c r="G287"/>
  <c r="G286"/>
  <c r="G285"/>
  <c r="G284"/>
  <c r="G283"/>
  <c r="I38" i="2" s="1"/>
  <c r="C283" i="1"/>
  <c r="G282"/>
  <c r="G281"/>
  <c r="G280"/>
  <c r="G279"/>
  <c r="G278"/>
  <c r="G277"/>
  <c r="G276"/>
  <c r="I37" i="2" s="1"/>
  <c r="C276" i="1"/>
  <c r="G275"/>
  <c r="G274"/>
  <c r="G273"/>
  <c r="G272"/>
  <c r="G271"/>
  <c r="G270"/>
  <c r="G269"/>
  <c r="G268"/>
  <c r="G267"/>
  <c r="G266"/>
  <c r="G265"/>
  <c r="G264"/>
  <c r="G263"/>
  <c r="G262"/>
  <c r="I36" i="2" s="1"/>
  <c r="C262" i="1"/>
  <c r="G261"/>
  <c r="G260"/>
  <c r="G259"/>
  <c r="G258"/>
  <c r="G257"/>
  <c r="G256"/>
  <c r="G255"/>
  <c r="G254"/>
  <c r="I35" i="2" s="1"/>
  <c r="C254" i="1"/>
  <c r="G251"/>
  <c r="G250"/>
  <c r="G249"/>
  <c r="G248"/>
  <c r="G247"/>
  <c r="G246"/>
  <c r="G245"/>
  <c r="G244"/>
  <c r="G243"/>
  <c r="G242"/>
  <c r="G241"/>
  <c r="I34" i="2" s="1"/>
  <c r="C241" i="1"/>
  <c r="G240"/>
  <c r="G239"/>
  <c r="G238"/>
  <c r="G237"/>
  <c r="G236"/>
  <c r="G235"/>
  <c r="G234"/>
  <c r="G233"/>
  <c r="G232"/>
  <c r="G231"/>
  <c r="G230"/>
  <c r="I33" i="2" s="1"/>
  <c r="C230" i="1"/>
  <c r="G229"/>
  <c r="G228"/>
  <c r="G227"/>
  <c r="G226"/>
  <c r="G225"/>
  <c r="G224"/>
  <c r="I32" i="2" s="1"/>
  <c r="C224" i="1"/>
  <c r="G223"/>
  <c r="G222"/>
  <c r="G221"/>
  <c r="G220"/>
  <c r="G219"/>
  <c r="G218"/>
  <c r="G217"/>
  <c r="G216"/>
  <c r="G215"/>
  <c r="G214"/>
  <c r="G213"/>
  <c r="G212"/>
  <c r="G211"/>
  <c r="I31" i="2" s="1"/>
  <c r="C211" i="1"/>
  <c r="G207"/>
  <c r="G206"/>
  <c r="G205"/>
  <c r="G204"/>
  <c r="G203"/>
  <c r="I30" i="2" s="1"/>
  <c r="C203" i="1"/>
  <c r="G202"/>
  <c r="G201"/>
  <c r="G200"/>
  <c r="G199"/>
  <c r="G198"/>
  <c r="C198"/>
  <c r="G195"/>
  <c r="G194"/>
  <c r="G193"/>
  <c r="G192"/>
  <c r="G191"/>
  <c r="G190"/>
  <c r="G189"/>
  <c r="G188"/>
  <c r="I28" i="2" s="1"/>
  <c r="C188" i="1"/>
  <c r="G187"/>
  <c r="G186"/>
  <c r="G185"/>
  <c r="G184"/>
  <c r="G183"/>
  <c r="G182"/>
  <c r="G181"/>
  <c r="C181"/>
  <c r="G180"/>
  <c r="G179"/>
  <c r="G178"/>
  <c r="G177"/>
  <c r="G176"/>
  <c r="G175"/>
  <c r="G174"/>
  <c r="G173"/>
  <c r="I26" i="2" s="1"/>
  <c r="C173" i="1"/>
  <c r="G172"/>
  <c r="G171"/>
  <c r="G170"/>
  <c r="G169"/>
  <c r="G168"/>
  <c r="G167"/>
  <c r="G166"/>
  <c r="I25" i="2" s="1"/>
  <c r="C166" i="1"/>
  <c r="G162"/>
  <c r="G161"/>
  <c r="G160"/>
  <c r="G159"/>
  <c r="G158"/>
  <c r="I24" i="2" s="1"/>
  <c r="C158" i="1"/>
  <c r="G157"/>
  <c r="G156"/>
  <c r="G155"/>
  <c r="G154"/>
  <c r="G153"/>
  <c r="I23" i="2" s="1"/>
  <c r="C153" i="1"/>
  <c r="G150"/>
  <c r="G149"/>
  <c r="G148"/>
  <c r="G146"/>
  <c r="G145"/>
  <c r="G144"/>
  <c r="I22" i="2" s="1"/>
  <c r="C144" i="1"/>
  <c r="G143"/>
  <c r="G142"/>
  <c r="G141"/>
  <c r="G140"/>
  <c r="G139"/>
  <c r="G138"/>
  <c r="G137"/>
  <c r="G136"/>
  <c r="I21" i="2" s="1"/>
  <c r="C136" i="1"/>
  <c r="G135"/>
  <c r="G134"/>
  <c r="G133"/>
  <c r="G132"/>
  <c r="G130"/>
  <c r="G129"/>
  <c r="G128"/>
  <c r="G127"/>
  <c r="G126"/>
  <c r="G125"/>
  <c r="I20" i="2" s="1"/>
  <c r="C125" i="1"/>
  <c r="G124"/>
  <c r="G123"/>
  <c r="G122"/>
  <c r="G121"/>
  <c r="G120"/>
  <c r="G119"/>
  <c r="G118"/>
  <c r="G117"/>
  <c r="I19" i="2" s="1"/>
  <c r="C117" i="1"/>
  <c r="G114"/>
  <c r="G113"/>
  <c r="G112"/>
  <c r="G111"/>
  <c r="G110"/>
  <c r="G109"/>
  <c r="G108"/>
  <c r="G107"/>
  <c r="G106"/>
  <c r="G105"/>
  <c r="G104"/>
  <c r="G103"/>
  <c r="G102"/>
  <c r="G101"/>
  <c r="I18" i="2" s="1"/>
  <c r="C101" i="1"/>
  <c r="G100"/>
  <c r="G99"/>
  <c r="G98"/>
  <c r="G97"/>
  <c r="G96"/>
  <c r="G95"/>
  <c r="G94"/>
  <c r="G93"/>
  <c r="G92"/>
  <c r="G91"/>
  <c r="G90"/>
  <c r="G89"/>
  <c r="C89"/>
  <c r="G86"/>
  <c r="G85"/>
  <c r="G84"/>
  <c r="G83"/>
  <c r="G82"/>
  <c r="G81"/>
  <c r="G80"/>
  <c r="I16" i="2" s="1"/>
  <c r="C80" i="1"/>
  <c r="G79"/>
  <c r="G78"/>
  <c r="G77"/>
  <c r="G76"/>
  <c r="G75"/>
  <c r="I15" i="2" s="1"/>
  <c r="C75" i="1"/>
  <c r="G74"/>
  <c r="G73"/>
  <c r="G72"/>
  <c r="G71"/>
  <c r="G70"/>
  <c r="G69"/>
  <c r="C69"/>
  <c r="G66"/>
  <c r="G65"/>
  <c r="G64"/>
  <c r="G63"/>
  <c r="G62"/>
  <c r="I13" i="2" s="1"/>
  <c r="C62" i="1"/>
  <c r="G61"/>
  <c r="G60"/>
  <c r="G59"/>
  <c r="G58"/>
  <c r="G57"/>
  <c r="I12" i="2" s="1"/>
  <c r="C57" i="1"/>
  <c r="G53"/>
  <c r="G52"/>
  <c r="G51"/>
  <c r="G50"/>
  <c r="G49"/>
  <c r="I11" i="2" s="1"/>
  <c r="C49" i="1"/>
  <c r="G48"/>
  <c r="G47"/>
  <c r="G46"/>
  <c r="G45"/>
  <c r="G44"/>
  <c r="G43"/>
  <c r="G42"/>
  <c r="G41"/>
  <c r="G40"/>
  <c r="C40"/>
  <c r="G39"/>
  <c r="G38"/>
  <c r="G37"/>
  <c r="G36"/>
  <c r="G35"/>
  <c r="G34"/>
  <c r="I9" i="2" s="1"/>
  <c r="C34" i="1"/>
  <c r="G33"/>
  <c r="G32"/>
  <c r="G31"/>
  <c r="G30"/>
  <c r="G29"/>
  <c r="I8" i="2" s="1"/>
  <c r="C29" i="1"/>
  <c r="G25"/>
  <c r="G24"/>
  <c r="G23"/>
  <c r="G22"/>
  <c r="G21"/>
  <c r="I7" i="2" s="1"/>
  <c r="C21" i="1"/>
  <c r="G20"/>
  <c r="G19"/>
  <c r="G18"/>
  <c r="G17"/>
  <c r="G16"/>
  <c r="G15"/>
  <c r="C14"/>
  <c r="G9"/>
  <c r="C9"/>
  <c r="M36" i="3"/>
  <c r="A1" i="2"/>
  <c r="A1" i="4"/>
  <c r="A1" i="3"/>
  <c r="A2" i="1"/>
  <c r="E350" l="1"/>
  <c r="G595"/>
  <c r="I78" i="2" s="1"/>
  <c r="G602" i="1"/>
  <c r="I79" i="2" s="1"/>
  <c r="G588" i="1"/>
  <c r="I77" i="2" s="1"/>
  <c r="H560" i="1"/>
  <c r="G560" s="1"/>
  <c r="L28" i="3" s="1"/>
  <c r="E560" i="1"/>
  <c r="H542"/>
  <c r="G542" s="1"/>
  <c r="L27" i="3" s="1"/>
  <c r="E542" i="1"/>
  <c r="H517"/>
  <c r="G517" s="1"/>
  <c r="L26" i="3" s="1"/>
  <c r="E517" i="1"/>
  <c r="H494"/>
  <c r="G494" s="1"/>
  <c r="L25" i="3" s="1"/>
  <c r="E494" i="1"/>
  <c r="E458"/>
  <c r="H458"/>
  <c r="G458" s="1"/>
  <c r="L24" i="3" s="1"/>
  <c r="E432" i="1"/>
  <c r="G388"/>
  <c r="H386" s="1"/>
  <c r="G386" s="1"/>
  <c r="L22" i="3" s="1"/>
  <c r="E336" i="1"/>
  <c r="H336"/>
  <c r="G336" s="1"/>
  <c r="L19" i="3" s="1"/>
  <c r="G329" i="1"/>
  <c r="L18" i="3" s="1"/>
  <c r="R18" s="1"/>
  <c r="H314" i="1"/>
  <c r="G314" s="1"/>
  <c r="L17" i="3" s="1"/>
  <c r="H288" i="1"/>
  <c r="G288" s="1"/>
  <c r="L16" i="3" s="1"/>
  <c r="E252" i="1"/>
  <c r="H252"/>
  <c r="G252" s="1"/>
  <c r="L15" i="3" s="1"/>
  <c r="H209" i="1"/>
  <c r="G209" s="1"/>
  <c r="L14" i="3" s="1"/>
  <c r="E644" i="1"/>
  <c r="H610"/>
  <c r="G610" s="1"/>
  <c r="L30" i="3" s="1"/>
  <c r="E610" i="1"/>
  <c r="H196"/>
  <c r="G196" s="1"/>
  <c r="L13" i="3" s="1"/>
  <c r="R13" s="1"/>
  <c r="E196" i="1"/>
  <c r="E164"/>
  <c r="H164"/>
  <c r="G164" s="1"/>
  <c r="L12" i="3" s="1"/>
  <c r="E151" i="1"/>
  <c r="H115"/>
  <c r="G115" s="1"/>
  <c r="L10" i="3" s="1"/>
  <c r="H87" i="1"/>
  <c r="G87" s="1"/>
  <c r="L9" i="3" s="1"/>
  <c r="E87" i="1"/>
  <c r="H67"/>
  <c r="G67" s="1"/>
  <c r="L8" i="3" s="1"/>
  <c r="E67" i="1"/>
  <c r="H49"/>
  <c r="E27"/>
  <c r="H7"/>
  <c r="G7" s="1"/>
  <c r="L5" i="3" s="1"/>
  <c r="I76" i="2"/>
  <c r="E288" i="1"/>
  <c r="H350"/>
  <c r="G350" s="1"/>
  <c r="L20" i="3" s="1"/>
  <c r="H368" i="1"/>
  <c r="G368" s="1"/>
  <c r="L21" i="3" s="1"/>
  <c r="H644" i="1"/>
  <c r="G644" s="1"/>
  <c r="L31" i="3" s="1"/>
  <c r="I5" i="2"/>
  <c r="I17"/>
  <c r="I29"/>
  <c r="I49"/>
  <c r="I73"/>
  <c r="I81"/>
  <c r="I85"/>
  <c r="H27" i="1"/>
  <c r="G27" s="1"/>
  <c r="L6" i="3" s="1"/>
  <c r="R6" s="1"/>
  <c r="E55" i="1"/>
  <c r="I10" i="2"/>
  <c r="I14"/>
  <c r="I46"/>
  <c r="I62"/>
  <c r="I66"/>
  <c r="E7" i="1"/>
  <c r="H40"/>
  <c r="H151"/>
  <c r="G151" s="1"/>
  <c r="L11" i="3" s="1"/>
  <c r="R11" s="1"/>
  <c r="E368" i="1"/>
  <c r="I27" i="2"/>
  <c r="I71"/>
  <c r="H55" i="1"/>
  <c r="G55" s="1"/>
  <c r="L7" i="3" s="1"/>
  <c r="R7" s="1"/>
  <c r="E115" i="1"/>
  <c r="E209"/>
  <c r="E314"/>
  <c r="H432"/>
  <c r="G432" s="1"/>
  <c r="L23" i="3" s="1"/>
  <c r="E579" i="1" l="1"/>
  <c r="H579"/>
  <c r="G579" s="1"/>
  <c r="L29" i="3" s="1"/>
  <c r="C7" i="4" s="1"/>
  <c r="E386" i="1"/>
  <c r="I52" i="2"/>
  <c r="E10" i="4" s="1"/>
  <c r="R5" i="3"/>
  <c r="C10" i="4"/>
  <c r="C8" l="1"/>
  <c r="C11"/>
  <c r="C9"/>
  <c r="C666" i="1"/>
  <c r="I87" i="2" s="1"/>
  <c r="E8" i="4"/>
  <c r="E7"/>
  <c r="E9"/>
  <c r="E11"/>
  <c r="I86" i="2"/>
  <c r="C12" i="4" l="1"/>
  <c r="D9" s="1"/>
  <c r="E12"/>
  <c r="F8" s="1"/>
  <c r="D10" l="1"/>
  <c r="D11"/>
  <c r="D7"/>
  <c r="D8"/>
  <c r="F11"/>
  <c r="F7"/>
  <c r="F10"/>
  <c r="F9"/>
  <c r="D12" l="1"/>
  <c r="F12"/>
</calcChain>
</file>

<file path=xl/sharedStrings.xml><?xml version="1.0" encoding="utf-8"?>
<sst xmlns="http://schemas.openxmlformats.org/spreadsheetml/2006/main" count="2991" uniqueCount="1960">
  <si>
    <t>MAPA DE CONTROLE E MONITORAMENTO DOS ÍNDICES DE QUALIDADE E AGILIDADE DO</t>
  </si>
  <si>
    <t>CONTROLE EXTERNO - ATRICON / 2015</t>
  </si>
  <si>
    <t>RESULTADO DA PESQUISA por DOMÍNIO, INDICADOR, DIMENSÃO e CRITÉRIOS</t>
  </si>
  <si>
    <t>Itens de Avaliação</t>
  </si>
  <si>
    <t>Unid.
Responsável</t>
  </si>
  <si>
    <t>Unidades 
correlacionadas</t>
  </si>
  <si>
    <t>Critério atende ?</t>
  </si>
  <si>
    <t>Pontuação Indicador e dimensão</t>
  </si>
  <si>
    <t>Critérios de Pontuação</t>
  </si>
  <si>
    <t>Evidências e observações</t>
  </si>
  <si>
    <t>Controle de Qualidade (Comisão interna do TC)</t>
  </si>
  <si>
    <t>Garantia da Qualidade - (Equipe QATC - ATRICON)</t>
  </si>
  <si>
    <t>DOMÍNIO A: INDEPENDÊNCIA E MARCO LEGAL</t>
  </si>
  <si>
    <t xml:space="preserve">Evidências </t>
  </si>
  <si>
    <t>As evidências são suficientes, relevantes, válidas e confiáveis? (Sim ou Não)</t>
  </si>
  <si>
    <t>Caso não, qual o motivo e a sugestão de avaliação a ser adotada?</t>
  </si>
  <si>
    <t xml:space="preserve">QATC-1 </t>
  </si>
  <si>
    <t>COMPOSIÇÃO, ORGANIZAÇÃO E FUNCIONAMENTO DOS TCs.</t>
  </si>
  <si>
    <t>Item</t>
  </si>
  <si>
    <t>Dimensões a serem avaliadas</t>
  </si>
  <si>
    <t>1.1</t>
  </si>
  <si>
    <t>Quanto aos Ministros e Conselheiros.
O Tribunal de Conbtas tem a seguinte composição:</t>
  </si>
  <si>
    <t>1.1.1 a</t>
  </si>
  <si>
    <t>No caso do TCU , seis  Ministros e, nos demais TCs, quatro Conselheiros, todos escolhidos pelo Poder Legislativo</t>
  </si>
  <si>
    <t>Pontuação = 4: todos os critérios são cumpridos
Pontuação = 3: três dos critérios acima são cumpridos
Pontuação = 2: dois dos critérios acima são cumpridos
Pontuação = 1: um dos critérios acima é cumprido
Pontuação = 0: nenhum dos critérios acima é cumprido</t>
  </si>
  <si>
    <t>1.1.2 b</t>
  </si>
  <si>
    <t>MAPA DE CONTROLE E MONITORAMENTO DOS ÍNDICES DE QUALIDADE E AGILIDADE DO CONTROLE EXTERNO - ATRICON / 2014</t>
  </si>
  <si>
    <t>No caso do TCU, um Ministro e, nos demais TCs, um Conselheiro, todos escolhidos pelo Chefe do Poder Executivo dentre os Ministros Substitutos ou Conselheiros Substitutos, respectivamente</t>
  </si>
  <si>
    <t>RESULTADO DA PESQUISA por DIMENSÃO</t>
  </si>
  <si>
    <t>1.1.3 c</t>
  </si>
  <si>
    <t>No caso do TCU, um Ministro e, nos demais TCs, um Conselheiro, todos  escolhidos pelo Chefe do Poder Executivo dentre os Procuradores de Contas</t>
  </si>
  <si>
    <t>1.1.4 d</t>
  </si>
  <si>
    <t>No TCU, dois Ministros e, nos demais TCs, um Conselheiro, todos de livre escolha do Chefe do Poder Executivo.</t>
  </si>
  <si>
    <t>1.2</t>
  </si>
  <si>
    <t>Quanto aos Conselheiros Substitutos</t>
  </si>
  <si>
    <t>DOMÍNIO</t>
  </si>
  <si>
    <t>INDICADOR</t>
  </si>
  <si>
    <t>DIMENSÕES</t>
  </si>
  <si>
    <t>PONTUAÇÃO</t>
  </si>
  <si>
    <t>1.2.1 a</t>
  </si>
  <si>
    <t xml:space="preserve">Os Ministros Substitutos e Conselheiros Substitutos são selecionados mediante concurso público </t>
  </si>
  <si>
    <t>Pontuação = 4: todos os critérios são cumpridos
Pontuação = 3: cinco dos critérios acima são cumpridos
Pontuação = 2: três dos critérios acima são cumpridos
Pontuação = 1: um dos critérios acima é cumprido
Pontuação = 0: nenhum dos critérios acima é cumprido</t>
  </si>
  <si>
    <t>A</t>
  </si>
  <si>
    <t>Independência e Marco Legal</t>
  </si>
  <si>
    <t>1.2.2 b</t>
  </si>
  <si>
    <t>Aos  Ministros Substitutos e Conselheiros Substitutos são distribuídos processos para relatoria própria</t>
  </si>
  <si>
    <t>QATC-1</t>
  </si>
  <si>
    <t>1.2.3 c</t>
  </si>
  <si>
    <t>Os processos são distribuídos aos Ministros Substitutos e Conselheiros Substitutos sem qualquer distinção quanto à natureza</t>
  </si>
  <si>
    <t>1.2.4 d</t>
  </si>
  <si>
    <t>Composição, organização e funcionamento dos Tribunais de Contas do Brasil</t>
  </si>
  <si>
    <t xml:space="preserve">Os Ministros Substitutos e  Conselheiros Substitutos têm assento permanente no Pleno. </t>
  </si>
  <si>
    <t>1.2.5 e</t>
  </si>
  <si>
    <t>Os Ministros Substitutos e Conselheiros Substitutos têm assento permanente nas Câmaras</t>
  </si>
  <si>
    <t>1.2.6 f</t>
  </si>
  <si>
    <t xml:space="preserve">Existe estrutura de Gabinete para os Ministros Substitutos e  Conselheiros Substitutos </t>
  </si>
  <si>
    <t>1.3</t>
  </si>
  <si>
    <t>1.1 Composição do Tribunal</t>
  </si>
  <si>
    <t>Quanto ao Ministério Público de Contas</t>
  </si>
  <si>
    <t>1.3.1 a</t>
  </si>
  <si>
    <t>Existe Ministério Público de Contas previsto formalmente em lei</t>
  </si>
  <si>
    <t>1.2 Quanto aos Conselheiros Substitutos</t>
  </si>
  <si>
    <t>Pontuação  = 4: todos os critérios são cumpridos 
Pontuação = 3: três dos critérios são cumpridos 
Pontuação  = 2: dois dos critérios são cumpridos 
Pontuação = 1: um dos critérios é cumprido Pontuação = 0: nenhum dos critérios é cumprido</t>
  </si>
  <si>
    <t>1.3.2 b</t>
  </si>
  <si>
    <t xml:space="preserve">Existe estrutura de Gabinete para os Procuradores do Ministério Público de Contas </t>
  </si>
  <si>
    <t>1.3.4 d</t>
  </si>
  <si>
    <t xml:space="preserve">O Ministério Público de Contas tem independência funcional </t>
  </si>
  <si>
    <t xml:space="preserve">A escolha do Procurador Geral de Contas se dá a partir de uma lista elaborada pelos membros do Ministério Público de Contas </t>
  </si>
  <si>
    <t>DOMÍNIO B: ESTRATÉGIA PARA O DESENVOLVIMENTO ORGANIZACIONAL</t>
  </si>
  <si>
    <t>QATC-2</t>
  </si>
  <si>
    <t xml:space="preserve"> PLANEJAMENTO ESTRATÉGICO</t>
  </si>
  <si>
    <t>1.3 Quanto ao Ministério Público de Contas</t>
  </si>
  <si>
    <t>B</t>
  </si>
  <si>
    <t>Estratégia para o desenvolvimento Organizacional</t>
  </si>
  <si>
    <t>QATC- 2</t>
  </si>
  <si>
    <t>Adoção do planejamento estratégico</t>
  </si>
  <si>
    <t>2.1</t>
  </si>
  <si>
    <t>Estrutura da unidade de planejamento estratégico.          O Tribunal :</t>
  </si>
  <si>
    <t>2.1 Estrutura da unidade de planejamento 
estratégico;</t>
  </si>
  <si>
    <t>2.2 Conteúdo do plano estratégico;</t>
  </si>
  <si>
    <t xml:space="preserve">2.3 Processo do planejamento estratégico; </t>
  </si>
  <si>
    <t>2.1.1 a</t>
  </si>
  <si>
    <t>Possui unidade de planejamento formalmente instituída.</t>
  </si>
  <si>
    <t>1. APURAÇÃO DOS RESULTADOS - INDICADORES E DIMENSÕES</t>
  </si>
  <si>
    <t>Pontuação = 4: todos os critérios são cumpridos
Pontuação = 3: três dos critérios são cumpridos
Pontuação = 2: dois dos critérios são cumpridos
Pontuação = 1: um dos critérios é cumprido
Pontuação = 0: nenhum dos critérios é cumprido</t>
  </si>
  <si>
    <t>2.4 Processo de planejamento anual</t>
  </si>
  <si>
    <t>C</t>
  </si>
  <si>
    <t>Estrutura e Gestão de Apoio</t>
  </si>
  <si>
    <t>QATC - 3</t>
  </si>
  <si>
    <t>Código de Ética para membros e servidores</t>
  </si>
  <si>
    <t>3.1 Código de Ética para membros</t>
  </si>
  <si>
    <t>3.2 Código de Ética para servidores</t>
  </si>
  <si>
    <t>QATC- 4</t>
  </si>
  <si>
    <t>Súmula e Jurisprudência</t>
  </si>
  <si>
    <t>4.1 Diretrizes gerais</t>
  </si>
  <si>
    <t>4.2 Súmulas</t>
  </si>
  <si>
    <t>2.1.2 b</t>
  </si>
  <si>
    <t>Define as atribuições da unidade de planejamento em instrumento normativo.</t>
  </si>
  <si>
    <t>4.3 Jurisprudência</t>
  </si>
  <si>
    <t>2.1.3 c</t>
  </si>
  <si>
    <t>Dota a unidade de planejamento de estrutura física própria</t>
  </si>
  <si>
    <t>2.1.4 d</t>
  </si>
  <si>
    <t>QATC - 5</t>
  </si>
  <si>
    <t xml:space="preserve">Dota a unidade de planejamento de estrutura de pessoal </t>
  </si>
  <si>
    <t>Corregedoria</t>
  </si>
  <si>
    <t>2.2</t>
  </si>
  <si>
    <t>Conteúdo do planejamento estratégico</t>
  </si>
  <si>
    <t>INDICADORES</t>
  </si>
  <si>
    <t>5.1 Estrutura da Corregedoria</t>
  </si>
  <si>
    <t>5.2 Atividades da Corregedoria</t>
  </si>
  <si>
    <t>QATC-6</t>
  </si>
  <si>
    <t>Descrição</t>
  </si>
  <si>
    <t>Controle Interno</t>
  </si>
  <si>
    <t>6.1 Ambiente de Controle Interno</t>
  </si>
  <si>
    <t>2.2.1 a</t>
  </si>
  <si>
    <t>O planejamento estratégico atual se baseia em avaliação das necessidades que abrange os principais aspectos da Instituição e a identificação de lacunas ou áreas que necessitam melhorar o seu desempenho</t>
  </si>
  <si>
    <t>6.2 Unidade de Controle Interno</t>
  </si>
  <si>
    <t>Pontuação = 4: Todos os critérios são cumpridos.
Pontuação = 3: Quatro dos critérios são cumpridos.
Pontuação = 2: Dois dos critérios são cumpridos.
Pontuação = 1: Um dos critérios é cumprido.
Pontuação = 0: Nenhum dos critérios é cumprido.</t>
  </si>
  <si>
    <t>Quantidade</t>
  </si>
  <si>
    <t>6.3 Atividades de Controle Interno</t>
  </si>
  <si>
    <t>2.2.2 b</t>
  </si>
  <si>
    <t>6.4 Controle Interno dos Jurisdicionados</t>
  </si>
  <si>
    <t>O planejamento estratégico contém um marco lógico ou uma estrutura semelhante com uma hierarquização lógica dos propósitos (por exemplo, missão-visão metas–objetivos; ou impacto–resultado–produto–atividades–insumos).</t>
  </si>
  <si>
    <t>Percentual</t>
  </si>
  <si>
    <t>2.2.3 c</t>
  </si>
  <si>
    <t>O planejamento estratégico contém um número razoável de indicadores que mensuram a agilidade do controle exercido pelo Tribunal, as capacidades internas e seu ambiente operacional.</t>
  </si>
  <si>
    <t>QATC -7</t>
  </si>
  <si>
    <t>Gerenciado</t>
  </si>
  <si>
    <t>Gestão de Tecnologia da Informação</t>
  </si>
  <si>
    <t>2.2.4 d</t>
  </si>
  <si>
    <t>O planejamento estratégico contempla as expectativas da sociedade, dos jurisdicionados e dos servidores.</t>
  </si>
  <si>
    <t xml:space="preserve">7.1 Estrutura de TI </t>
  </si>
  <si>
    <t>2.2.5 e</t>
  </si>
  <si>
    <t>O planejamento estratégico inclui medidas para fortalecer o ambiente institucional do Tribunal.</t>
  </si>
  <si>
    <t>2.3</t>
  </si>
  <si>
    <t>Processo de planejamento estratégico.                                                      Contempla:</t>
  </si>
  <si>
    <t>7.2 Política de TI</t>
  </si>
  <si>
    <t>D</t>
  </si>
  <si>
    <t>Recursos Humanos e Liderança</t>
  </si>
  <si>
    <t>QATC - 8</t>
  </si>
  <si>
    <t>Gestão de Pessoas</t>
  </si>
  <si>
    <t>8.1 Plano de cargos, carreiras e salários</t>
  </si>
  <si>
    <t>8.2 Política de saúde e qualidade de vida no trabalho</t>
  </si>
  <si>
    <t>2.3.1 a</t>
  </si>
  <si>
    <t>Comprometimento dos níveis mais elevados da instituição no processo: dos gestores e do Presidente do Tribunal.</t>
  </si>
  <si>
    <t xml:space="preserve">8.3 Recrutamento, lotação e liderança </t>
  </si>
  <si>
    <t>Pontuação = 4: Todos os critérios são cumpridos.
Pontuação = 3: seis dos critérios são cumpridos.
Pontuação = 2: quatro dos critérios são cumpridos.
Pontuação = 1: dois dos critérios são cumprido.
Pontuação = 0: Menos de dois dos critérios é cumprido.</t>
  </si>
  <si>
    <t>8.4 Liderança, avaliação de desempenho e valorização dos servidores</t>
  </si>
  <si>
    <t>QATC - 9</t>
  </si>
  <si>
    <t>2.3.2 b</t>
  </si>
  <si>
    <t>Participação: oportunidade de todos na instituição contribuírem para o planejamento estratégico de alguma maneira.</t>
  </si>
  <si>
    <t>Escola de Contas</t>
  </si>
  <si>
    <t>9.1 Estrutura da Escola de Contas</t>
  </si>
  <si>
    <t>2.3.3 c</t>
  </si>
  <si>
    <t>A existência de processo para o monitoramento anual da implementação do plano estratégico.</t>
  </si>
  <si>
    <t>2.3.4 d</t>
  </si>
  <si>
    <t>Disponibilização do planejamento estratégico ao público externo.</t>
  </si>
  <si>
    <t xml:space="preserve">9.2 Funcionamento da Escola de Contas </t>
  </si>
  <si>
    <t xml:space="preserve">2.3.5 e </t>
  </si>
  <si>
    <t>Clareza na definição de responsabilidades, ações e cronograma para a formulação do plano estratégico.</t>
  </si>
  <si>
    <t>2.3.6 f</t>
  </si>
  <si>
    <t>Continuidade:  houve solução de continuidade entre o planejamento estratégico vigente e o anterior.</t>
  </si>
  <si>
    <t>E</t>
  </si>
  <si>
    <t>2.3.7 g</t>
  </si>
  <si>
    <t xml:space="preserve">Avaliação ciclica de modo a contribhuir para o processo de planejamento seguinte. </t>
  </si>
  <si>
    <t>Celeridade e Tempestividade</t>
  </si>
  <si>
    <t>2.3.8 h</t>
  </si>
  <si>
    <t>Planejamento estratégico de médio (mínimo quatro anos) ou longo prazo.</t>
  </si>
  <si>
    <t>QATC - 10</t>
  </si>
  <si>
    <t>Agilidade no julgamento de processos e gerenciamento de prazos pelos Tribunais de Contas</t>
  </si>
  <si>
    <t>2.4</t>
  </si>
  <si>
    <t>Processo de planejamento anual.                                          Contempla:</t>
  </si>
  <si>
    <t>Estabelecido</t>
  </si>
  <si>
    <t>10.1 Prazos para apreciação (julgamento, emissão de parecer, registro etc...)</t>
  </si>
  <si>
    <t>10.2 Medidas para racionalizar a geração de processos (antes da autuação)</t>
  </si>
  <si>
    <t>10.3 Medidas para assegurar maior celeridade à tramitação de processos (após a autuação)</t>
  </si>
  <si>
    <t>10.4 Medidas para eliminar e reduzir o estoque de processos e para gerenciar os prazos</t>
  </si>
  <si>
    <t>QATC - 11</t>
  </si>
  <si>
    <t>Controle externo concomitante 
(preventivo)</t>
  </si>
  <si>
    <t>11.1 Marco legal do controle concomitante</t>
  </si>
  <si>
    <t>2.4.1 a</t>
  </si>
  <si>
    <t>Comprometimento dos níveis mais elevados da instituição: dos gestores e do Presidente do Tribunal.</t>
  </si>
  <si>
    <t>11.2 Planejamento e execução do controle concomitante</t>
  </si>
  <si>
    <t>Pontuação = 4: Todos os critérios são cumpridos.
Pontuação = 3: Pelo menos três dos critérios são cumpridos.
Pontuação = 2: Pelo menos dois dos critérios são cumpridos.
Pontuação = 1: Pelo menos um dos critérios é cumprido.
Pontuação = 0: Nenhum dos critérios é cumprido.</t>
  </si>
  <si>
    <t>11.3 Termos de ajuste de gestão e medidas cautelares</t>
  </si>
  <si>
    <t>2.4.2 b</t>
  </si>
  <si>
    <t>Comunicação: o plano é devidamente comunicado a todos dentro do Tribunal.</t>
  </si>
  <si>
    <t>11.4 Controle concomitante de licitações e contratos, convênios, obras e pessoal</t>
  </si>
  <si>
    <t>2.4.3 c</t>
  </si>
  <si>
    <t>Monitoramento, dentro do exercício, dos avanços obtidos em relação ao plano anual.</t>
  </si>
  <si>
    <t>Desenvolvimento</t>
  </si>
  <si>
    <t>QATC - 12</t>
  </si>
  <si>
    <t>2.4.4 d</t>
  </si>
  <si>
    <t>Planejamento do plano: existe uma definição clara das responsabilidades, ações e cronograma para a formulação do plano anual.</t>
  </si>
  <si>
    <t>Informações estratégicas para o Controle Externo</t>
  </si>
  <si>
    <t>DOMÍNIO C: ESTRUTURA E GESTÃO DE APOIO</t>
  </si>
  <si>
    <t>12.1 Marco Legal da unidade de informações estratégicas</t>
  </si>
  <si>
    <t>Base</t>
  </si>
  <si>
    <t xml:space="preserve">12.2 Infraestrutura da unidade de informações estratégicas </t>
  </si>
  <si>
    <t>QATC-3</t>
  </si>
  <si>
    <t>CÓDIGO DE ÉTICA PARA MEMBROS E SERVIDORES</t>
  </si>
  <si>
    <t>12.3 Competências da unidade de informações estratégicas</t>
  </si>
  <si>
    <t>12.4 Cooperação interinstitucional</t>
  </si>
  <si>
    <t>QATC- 13</t>
  </si>
  <si>
    <t>Acompanhamento das decisões</t>
  </si>
  <si>
    <t>13.1 Estrutura de acompanhamento das decisões</t>
  </si>
  <si>
    <t>Não existe ou não fiuncioona</t>
  </si>
  <si>
    <t>13.2 Processos de acompanhamento da aplicação de multas, imputação de débitos, de determinações e recomendações</t>
  </si>
  <si>
    <t>3.1</t>
  </si>
  <si>
    <t>Código de ética para membros</t>
  </si>
  <si>
    <t>QATC-14</t>
  </si>
  <si>
    <t>Acordos de cooperação técnica com outros órgãos</t>
  </si>
  <si>
    <t>3.1.1 a</t>
  </si>
  <si>
    <t>Possui Código de Ética para os membros estabelecendo normas, políticas, práticas éticas e critérios que tratem da integridade, independência, imparcialidade, urbanidade, confidencialidade e competência dos membros.</t>
  </si>
  <si>
    <t>14.1 Acordo de cooperação técnica com outros órgãos de controle</t>
  </si>
  <si>
    <t>3.1.2 b</t>
  </si>
  <si>
    <t>Assegura que todos os membros estejam familiarizados com os valores e princípios constantes do Código de Ética.</t>
  </si>
  <si>
    <t>QATC-15</t>
  </si>
  <si>
    <t>Desenvolvimento local
( LC nº 123/2006)</t>
  </si>
  <si>
    <t>3.1.3 c</t>
  </si>
  <si>
    <t>Divulga ao público em geral o Código de Ética</t>
  </si>
  <si>
    <t>15.1 Marco legal</t>
  </si>
  <si>
    <t>3.1.4 d</t>
  </si>
  <si>
    <t>Adota medidas corretivas em caso de violação do Código de Ética.</t>
  </si>
  <si>
    <t>3.2</t>
  </si>
  <si>
    <t>Código de Ética para os servidores</t>
  </si>
  <si>
    <t>15.2 Execução</t>
  </si>
  <si>
    <t>QATC - 16</t>
  </si>
  <si>
    <t>Ordem nos Pagamentos Públicos
(art. 5º, Lei nº 8.666/93)</t>
  </si>
  <si>
    <t>16.1 Marco legal</t>
  </si>
  <si>
    <t>Total</t>
  </si>
  <si>
    <t>16.2 Execução</t>
  </si>
  <si>
    <t>F</t>
  </si>
  <si>
    <t>Normas e metodologia de auditoria</t>
  </si>
  <si>
    <t>QATC-17</t>
  </si>
  <si>
    <t>Planejamento geral da auditoria e gestão da 
qualidade</t>
  </si>
  <si>
    <t>17.1 Plano de auditoria</t>
  </si>
  <si>
    <t>17.2 Controle e Garantia da Qualidade</t>
  </si>
  <si>
    <t>3.2.1 a</t>
  </si>
  <si>
    <t>Possui Código de Ética para os servidores estabelecendo normas, políticas e práticas éticas, com critérios que tratem da integridade, independência, imparcialidade, urbanidade, confidencialidade e competência dos servidores.</t>
  </si>
  <si>
    <t>QATC-18</t>
  </si>
  <si>
    <t>Fundamentos da auditoria de conformidade</t>
  </si>
  <si>
    <t>18.1 Normas e orientações da auditoria de conformidade</t>
  </si>
  <si>
    <t>3.2.2 b</t>
  </si>
  <si>
    <t>Assegura que todos os servidores estejam familiarizados com os valores e princípios constantes do Código de Ética.</t>
  </si>
  <si>
    <t>18.2 Ética e independência na auditoria de conformidade</t>
  </si>
  <si>
    <t>3.2.3 c</t>
  </si>
  <si>
    <t>3.2.4 d</t>
  </si>
  <si>
    <t>18.3 Controle de qualidade na auditoria de conformidade</t>
  </si>
  <si>
    <t>SÚMULA E JURISPRUDÊNCIA</t>
  </si>
  <si>
    <t>18.4 Gestão e qualificação da equipe de auditoria de conformidade</t>
  </si>
  <si>
    <t>QATC-19</t>
  </si>
  <si>
    <t>Processo de auditoria de conformidade</t>
  </si>
  <si>
    <t>19.1 Planejamento de auditorias de conformidade</t>
  </si>
  <si>
    <t>19.2 Execução de auditorias de conformidade</t>
  </si>
  <si>
    <t>19.3 Avaliação das evidências de auditoria, conclusão e relatório de auditorias de conformidade</t>
  </si>
  <si>
    <t>QATC-20</t>
  </si>
  <si>
    <t>Bases da auditoria operacional</t>
  </si>
  <si>
    <t>20.1 Normas e orientações da auditoria operacional.</t>
  </si>
  <si>
    <t>4.1</t>
  </si>
  <si>
    <t>Diretrizes gerais</t>
  </si>
  <si>
    <t>20.2 Ética e independência na auditoria operacional.</t>
  </si>
  <si>
    <t>20.3 Controle de qualidade na auditoria operacional.</t>
  </si>
  <si>
    <t>4.1.1 a</t>
  </si>
  <si>
    <t>20.4 Gestão e qualificações da equipe de auditoria operacional.</t>
  </si>
  <si>
    <t>Possui processo de sistematização da jurisprudência, contemplando competências técnicas, atribuições, responsabilidades, integração entre unidades, entre outras diretrizes.</t>
  </si>
  <si>
    <t>Pontuação = 4: todos os critérios são cumpridos
Pontuação = 3: quatro critérios são cumpridos
Pontuação = 2: dois critérios são cumpridos
Pontuação = 1: um critério é cumprido
Pontuação = 0: nenhum critério é cumprido</t>
  </si>
  <si>
    <t>QATC-21</t>
  </si>
  <si>
    <t>Processo de auditoria operacional</t>
  </si>
  <si>
    <t>21.1 Planejamento de auditorias operacionais</t>
  </si>
  <si>
    <t>4.1.2 b</t>
  </si>
  <si>
    <t>Assegura a atuação de unidade técnica ou de comissão permanente de jurisprudência, responsável pela sistematização e divulgação da jurisprudência do Tribunal.</t>
  </si>
  <si>
    <t>4.1.3 c</t>
  </si>
  <si>
    <t>Regulamentou o processo para proposição e aprovação de enunciados de súmula e de uniformização de jurisprudência.</t>
  </si>
  <si>
    <t>21.2 Implementação de auditorias operacionais</t>
  </si>
  <si>
    <t>4.1.4 d</t>
  </si>
  <si>
    <t>Assegura a criação e a divulgação de ementas e/ou outros resumos jurisprudenciais de todas as decisões colegiadas do Tribunal, contemplando as teses julgadas, especialmente em relação aos seguintes processos: contas de governo e de gestão; tomadas de contas especiais; auditorias; denúncias e representações; medidas cautelares e consultas.</t>
  </si>
  <si>
    <t>4.1.5 e</t>
  </si>
  <si>
    <t>Dispõe de sistema informatizado que proporcione a pesquisa de jurisprudência por meio de busca textual em toda base de dados das decisões do Tribunal de Contas, contemplando no mínimo as seguintes opções de refinamento: por operadores lógicos; por relator; por tipo de processo; por tipo de decisão; por período; por jurisdicionado e por temas.</t>
  </si>
  <si>
    <t>21.3 Relatórios de auditorias operacionais</t>
  </si>
  <si>
    <t>4.2</t>
  </si>
  <si>
    <t>Súmulas</t>
  </si>
  <si>
    <t>G</t>
  </si>
  <si>
    <t>Resultados (Relatórios) de Auditoria</t>
  </si>
  <si>
    <t>QATC-22</t>
  </si>
  <si>
    <t>Resultados das auditorias de conformidade</t>
  </si>
  <si>
    <t>4.2.1 a</t>
  </si>
  <si>
    <t>22.1 Abrangência das auditorias de conformidade.</t>
  </si>
  <si>
    <t>Edita súmulas a respeito de decisões reiteradas em determinados assuntos</t>
  </si>
  <si>
    <t>Pontuação = 4: todos os critérios são cumpridos
Pontuação = 3: três critérios são cumpridos
Pontuação = 2: dois critérios são cumpridos
Pontuação = 1: um critério é cumprido
Pontuação = 0: nenhum critério é cumprido</t>
  </si>
  <si>
    <t>4.2.2 b</t>
  </si>
  <si>
    <t>Aplica as súmulas nos seus julgamentos</t>
  </si>
  <si>
    <t>22.2 Apresentação dos resultados das auditorias de conformidade.</t>
  </si>
  <si>
    <t>4.2.3 c</t>
  </si>
  <si>
    <t>Disponibiliza as súmulas no sítio do Tribunal na internet e na intranet</t>
  </si>
  <si>
    <t>4.2.4 d</t>
  </si>
  <si>
    <t>Divulga os processo cujos julgamentos resultaram na edição das súmulas.</t>
  </si>
  <si>
    <t>4.3</t>
  </si>
  <si>
    <t>Jurisprudência</t>
  </si>
  <si>
    <t>22.3 Publicação e disseminação dos resultados das auditorias de conformidade.</t>
  </si>
  <si>
    <t>22.4 Acompanhamento, pelo TC, da implementação das determinações e recomendações das auditorias de conformidade.</t>
  </si>
  <si>
    <t>4.3.1 a</t>
  </si>
  <si>
    <t>QATC-23</t>
  </si>
  <si>
    <t>Resultados das auditorias operacionais</t>
  </si>
  <si>
    <t>Possui a sua jurisprudência devidamente sistematizada</t>
  </si>
  <si>
    <t>23.1 Abrangência, seleção e objetivo das auditorias operacionais.</t>
  </si>
  <si>
    <t>4.3.2 b</t>
  </si>
  <si>
    <t>Utiliza a sua jurisprudência nos julgamentos</t>
  </si>
  <si>
    <t>4.3.3 c</t>
  </si>
  <si>
    <t>Disponibiliza a jurisprudência no sítio do Tribunal na internet e na intranet</t>
  </si>
  <si>
    <t>4.3.4 d</t>
  </si>
  <si>
    <t>23.2 Apresentação, publicação e disseminação dos resultados das auditorias  operacionais.</t>
  </si>
  <si>
    <t>Possui sistema informatizado que permita o tratamento das decisões colegiadas do Tribunal, por meio de coleta, análise, elaboração de resumos jurisprudenciais, indexação e divulgação na web, para consulta pelos interessados.</t>
  </si>
  <si>
    <t>4.3.5 e</t>
  </si>
  <si>
    <t>Assegura que as ementas e/ou outros resumos jurisprudenciais tenham hiperlinks permitindo o acesso ao inteiro teor da decisão (relatório, voto e parte dispositiva)</t>
  </si>
  <si>
    <t>4.3.6 f</t>
  </si>
  <si>
    <t>Divulga suas decisões por meio de publicações, boletins e informativos periódicos de jurisprudência.</t>
  </si>
  <si>
    <t>QATC- 5</t>
  </si>
  <si>
    <t>CORREGEDORIA</t>
  </si>
  <si>
    <t>23.3 Acompanhamento, pelo TC, da implementação das determinações e recomendações das auditorias operacionais.</t>
  </si>
  <si>
    <t>QATC-24</t>
  </si>
  <si>
    <t>Auditoria Financeira</t>
  </si>
  <si>
    <t>24.1 Fundamentos de auditorias financeiras</t>
  </si>
  <si>
    <t>24.2 Processo de auditoria financeira</t>
  </si>
  <si>
    <t>5.1</t>
  </si>
  <si>
    <t>Estrutura da Corregedoria</t>
  </si>
  <si>
    <t>24.3 Resultados de auditoria financeira</t>
  </si>
  <si>
    <t>QATC-25</t>
  </si>
  <si>
    <t>Auditorias com temas específicos</t>
  </si>
  <si>
    <t>25.1 Auditoria de obras públicas.</t>
  </si>
  <si>
    <t>25.2 Auditoria de Concessões Públicas</t>
  </si>
  <si>
    <t>25.3 Auditoria de tecnologia da informação.</t>
  </si>
  <si>
    <t>5.1.1 a</t>
  </si>
  <si>
    <t>Está na estrutura organizacional</t>
  </si>
  <si>
    <t>Pontuação = 4: todos os critérios são cumpridos
Pontuação = 3: oito critérios são cumpridos
Pontuação = 2: cinco critérios são cumpridos
Pontuação = 1: três critérios são cumpridos
Pontuação = 0: menos de três critérios são cumpridos</t>
  </si>
  <si>
    <t>25.4 Auditoria de meio ambiente.</t>
  </si>
  <si>
    <t>Possui suas atribuições definidas em instrumento normativo (atribuições da unidade e não somente do Corregedor), aprovado pelo Colegiado</t>
  </si>
  <si>
    <t>H</t>
  </si>
  <si>
    <t>5.1.3 c</t>
  </si>
  <si>
    <t>Possui estrutura física própria (distinta do Gabinete do Corregedor)</t>
  </si>
  <si>
    <t>Comunicação e Controle Social</t>
  </si>
  <si>
    <t>QATC-26</t>
  </si>
  <si>
    <t>Comunicação com a mídia, com os cidadãos e as organizações da sociedade civil</t>
  </si>
  <si>
    <t>26.1 Boas práticas referentes à comunicaçao com a mídia</t>
  </si>
  <si>
    <t>5.1.4 d</t>
  </si>
  <si>
    <t>Possui estrutura de pessoal própria (distinta do pessoal do Gabinete do Corregedor), pertencente, majoritariamente, ao quadro efetivo</t>
  </si>
  <si>
    <t>26.2 Boas práticas referentes à comunicação com os cidadãos e com as organizações da sociedade civil</t>
  </si>
  <si>
    <t>5.1.5 e</t>
  </si>
  <si>
    <t>Possui comissão permanente de correições</t>
  </si>
  <si>
    <t>5.1.6 f</t>
  </si>
  <si>
    <t>26.3 Política de comunicação e estruturação da área de comunicação social</t>
  </si>
  <si>
    <t>Possui comissão processante permanente (processo administrativo disciplinar e de sindicância)</t>
  </si>
  <si>
    <t>5.1.7 g</t>
  </si>
  <si>
    <t>Possui regulamento para o procedimento disciplinar no âmbito interno</t>
  </si>
  <si>
    <t>26.4 Divulgação das decisões na página do Tribunal de Contas na Internet</t>
  </si>
  <si>
    <t>5.1.8 h</t>
  </si>
  <si>
    <t>Possui espaço próprio na internet e intranet</t>
  </si>
  <si>
    <t>5.1.9 i</t>
  </si>
  <si>
    <t>Possui sistema informatizado que possibilite o gerenciamento dos processos, procedimentos e dos prazos processuais, com alertas automáticos</t>
  </si>
  <si>
    <t>QATC 27</t>
  </si>
  <si>
    <t>Ouvidoria</t>
  </si>
  <si>
    <t>27.1 Estrutura da Ouvidoria</t>
  </si>
  <si>
    <t>5.1.10 j</t>
  </si>
  <si>
    <t>Contempla, no plano estratégico do Tribunal, iniciativas voltadas ao comportamento ético, com aferição periódica de resultados</t>
  </si>
  <si>
    <t>27.2 Atividades da Ouvidoria</t>
  </si>
  <si>
    <t>5.1.11 k</t>
  </si>
  <si>
    <t xml:space="preserve">Possui Matriz de Negócio da Corregedoria (missão, visão e valores) </t>
  </si>
  <si>
    <t>Total nº de requisitos da dimensão</t>
  </si>
  <si>
    <t>5.2</t>
  </si>
  <si>
    <t>Atividades da Corregedoria</t>
  </si>
  <si>
    <t>5.2.1 a</t>
  </si>
  <si>
    <t>Possui regimento interno</t>
  </si>
  <si>
    <t>Pontuação = 4: dez critérios são cumpridos
Pontuação = 3: oito critérios são cumpridos
Pontuação = 2: seis critérios são cumpridos
Pontuação = 1: quatro critérios são cumpridos
Pontuação = 0: menos de quatro critérios são cumpridos</t>
  </si>
  <si>
    <t>5.2.2 b</t>
  </si>
  <si>
    <t>Possui normativo próprio das comissões processantes (PAD e sindicância)</t>
  </si>
  <si>
    <t>Resultado:</t>
  </si>
  <si>
    <t>5.2.3 c</t>
  </si>
  <si>
    <t>Possui regulamento para os procedimentos de correição ordinária e extraordinária, adotando as diretrizes estabelecidas no modelo definido pelo CCOR</t>
  </si>
  <si>
    <t>5.2.4 d</t>
  </si>
  <si>
    <t>Possui metas e indicadores de desempenho quanto à realização de correições ordinárias</t>
  </si>
  <si>
    <t>5.2.5 e</t>
  </si>
  <si>
    <t>Realiza, no mínimo, uma correição ordinária por ano, nas unidades do Tribunal, incluindo os Gabinetes dos membros</t>
  </si>
  <si>
    <t>5.2.6 f</t>
  </si>
  <si>
    <t>Expede provimentos, recomendações e orientações</t>
  </si>
  <si>
    <t>Convergência da Avaliação de Qualidade e Agilidade ao SAI-PMF</t>
  </si>
  <si>
    <t>5.2.7 g</t>
  </si>
  <si>
    <t xml:space="preserve">Acompanha o cumprimento de provimentos, recomendações e orientações </t>
  </si>
  <si>
    <t>5.2.8 h</t>
  </si>
  <si>
    <t>Controla os prazos processuais</t>
  </si>
  <si>
    <t>5.2.9. i</t>
  </si>
  <si>
    <t>Recomenda que os relatórios gerenciais do Tribunal sejam disponibilizados na internet.</t>
  </si>
  <si>
    <t>5.2.10 j</t>
  </si>
  <si>
    <t>Fomenta o comportamento ético dos membros e servidores (campanhas de conscientização baseadas no código de ética)</t>
  </si>
  <si>
    <t>INDICADORES DE AUDITORIA</t>
  </si>
  <si>
    <t>5.2.11 k</t>
  </si>
  <si>
    <t>Instaura procedimentos destinados à apuração da competência para indicação de Conselheiro, no caso de vacância, e, após a nomeação, à análise do preenchimento dos requisitos constitucionais e legais para a posse, expedientes a serem submetidos à deliberação do Tribunal Pleno</t>
  </si>
  <si>
    <t>5.2.12 l</t>
  </si>
  <si>
    <t>Disponibiliza os relatórios gerenciais na internet</t>
  </si>
  <si>
    <t>5.2.13 m</t>
  </si>
  <si>
    <t>Utiliza o Termo de Ajustamento de Conduta como meio alternativo às sindicâncias acusatórias e aos processos administrativos disciplinares, no caso de infrações leves</t>
  </si>
  <si>
    <t>APÊNDICE 1 
 INDICADOR DE AUDITORIA FINANCEIRA</t>
  </si>
  <si>
    <t>QATC- 6</t>
  </si>
  <si>
    <t>CONTROLE INTERNO</t>
  </si>
  <si>
    <t xml:space="preserve">Para os Tribunais de Contas que optarem por avaliar a qualidade das auditorias financeiras por eles realizadas, foram adaptados os
 três indicadores do SAI-PMF às peculiaridades das Cortes de Contas, os quais podem ser utilizados em complemento aos 
Domínios G - Resultados (relatórios) de Auditoria </t>
  </si>
  <si>
    <t xml:space="preserve">QATC </t>
  </si>
  <si>
    <t>Auditoria financeira</t>
  </si>
  <si>
    <t>1 Fundamentos de auditoria financeira</t>
  </si>
  <si>
    <t>6.1</t>
  </si>
  <si>
    <t>Ambiente de Controle Interno</t>
  </si>
  <si>
    <t>2 Processo da auditoria financeira</t>
  </si>
  <si>
    <t>6.1.1 a</t>
  </si>
  <si>
    <t>Possui políticas e procedimentos de controle interno.</t>
  </si>
  <si>
    <t>3 Resutados de auditoria financeira</t>
  </si>
  <si>
    <t>Pontuação = 4: seis dos critérios são cumpridos
Pontuação = 3: cinco critérios são cumpridos
Pontuação = 2: três critérios são cumpridos
Pontuação = 1: dois dos critérios é cumprido
Pontuação = 0: menos de dois dos critérios é cumprido</t>
  </si>
  <si>
    <t>6.1.2 b</t>
  </si>
  <si>
    <t>Aplica procedimentos de controle interno.</t>
  </si>
  <si>
    <t>6.1.3 c</t>
  </si>
  <si>
    <t>Faz constar, como parte integrante do relatório anual do Tribunal, declaração sobre controle interno assinada pelo Presidente.</t>
  </si>
  <si>
    <t>6.1.4 d</t>
  </si>
  <si>
    <t>Avaliou o ambiente de controle interno e prestou informações sobre ele nos últimos cinco anos</t>
  </si>
  <si>
    <t>6.1.5 e</t>
  </si>
  <si>
    <t>Possui canal de comunicação para que os servidores informem suspeitas de irregularidades.</t>
  </si>
  <si>
    <t>6.1.6 f</t>
  </si>
  <si>
    <t>Possui políticas e procedimentos para a segurança da informação e de TI.</t>
  </si>
  <si>
    <t>6.1.7 g</t>
  </si>
  <si>
    <t>Possui em operação um sistema claramente definido para identificar, mitigar e acompanhar os principais riscos de negócio.</t>
  </si>
  <si>
    <t>6.2</t>
  </si>
  <si>
    <t>Unidade de Controle Interno dos Tribunais de Contas</t>
  </si>
  <si>
    <t>6.2.1 a</t>
  </si>
  <si>
    <t xml:space="preserve">Existe unidade de controle interno na estrutura organizacional diretamente subordinada à Presidência do Tribunal de Contas </t>
  </si>
  <si>
    <t>Pontuação = 4: todos os critérios são cumpridos
Pontuação = 3: sete critérios são cumpridos
Pontuação = 2: cinco critérios são cumpridos
Pontuação = 1: dois critérios são cumpridos
Pontuação = 0: menos de dois critérios são cumpridos</t>
  </si>
  <si>
    <t>6.2.2 b</t>
  </si>
  <si>
    <t xml:space="preserve">A unidade de controle interno é composta por profissionais de carreira própria ou da carreira de auditoria do Tribunal de Contas; </t>
  </si>
  <si>
    <t>6.2.3 c</t>
  </si>
  <si>
    <t xml:space="preserve">A unidade de controle interno conta com servidores em quantidade suficiente e com competência técnica adequada para a execução de um plano anual de atividades de auditoria interna; </t>
  </si>
  <si>
    <t>6.2.4 d</t>
  </si>
  <si>
    <t xml:space="preserve">Os servidores da unidade de controle interno desenvolvem exclusivamente atividades próprias de controle e auditoria interna, com observância ao princípio da segregação de funções </t>
  </si>
  <si>
    <t>6.2.5 e</t>
  </si>
  <si>
    <t xml:space="preserve">A Unidade de controle interno conta com estrutura física adequada e recursos materiais suficientes para a execução do plano anual de atividades de auditoria interna; </t>
  </si>
  <si>
    <t>6.2.6 f</t>
  </si>
  <si>
    <t>Os servidores da unidade de controle interno têm acesso irrestrito aos documentos e às informações necessárias à realização das atividades de controle interno.</t>
  </si>
  <si>
    <t>6.2.7 g</t>
  </si>
  <si>
    <t xml:space="preserve">Os servidores da unidade de controle interno têm independência técnica e autonomia profissional em relação às unidades controladas. </t>
  </si>
  <si>
    <t>6.2.8 h</t>
  </si>
  <si>
    <t>O Tribunal de Contas promove o desenvolvimento profissional contínuo dos profissionais do controle interno.</t>
  </si>
  <si>
    <t>6.2.9 i</t>
  </si>
  <si>
    <t>As competências da unidade de controle interno foram regulamentadas de acordo com os parâmetros definidos na Diretriz 27,d da RA 04/2014;</t>
  </si>
  <si>
    <t>6.2.10 j</t>
  </si>
  <si>
    <t>As competências das unidades executoras do sistema de controle interno foram regulamentadas de acordo com os parâmetros definidos na Diretriz 27,e da RA 04/2014;</t>
  </si>
  <si>
    <t>6.3</t>
  </si>
  <si>
    <t>Atividades de controle interno dos Tribunais de Contas</t>
  </si>
  <si>
    <t>6.3.1 a</t>
  </si>
  <si>
    <t>A unidade de controle interno realiza auditorias internas periódicas de avaliação do sistema de controle interno.</t>
  </si>
  <si>
    <t>6.3.2 b</t>
  </si>
  <si>
    <t>A unidade de controle interno realiza os trabalhos de auditoria interna com base em normas e manuais que regulamentam o processo de auditoria, em especial as Normas de Auditoria Governamental – NAGs.</t>
  </si>
  <si>
    <t>6.3.3 c</t>
  </si>
  <si>
    <t>A unidade de controle Interno elabora um planejamento anual em um plano anual de atividades de auditoria, com a descrição dos trabalhos de fiscalização a serem desenvolvidos, os cronogramas e os recursos necessários às ações de controle.</t>
  </si>
  <si>
    <t>6.3.4 d</t>
  </si>
  <si>
    <t>O plano anual de atividades é elaborado considerando matrizes de risco organizacional que consideram a materialidade, o risco de controle e o caráter estratégico das ações auditadas e estão em conformidade com a política de gerenciamento dos riscos do Tribunal.</t>
  </si>
  <si>
    <t>6.3.5 e</t>
  </si>
  <si>
    <t>A Unidade de controle interno elabora relatório anual de atividades.</t>
  </si>
  <si>
    <t>6.3.6 f</t>
  </si>
  <si>
    <t xml:space="preserve">A Unidade de Controle Interno emite pareceres sobre o Relatório de Gestão Fiscal e os balanços contábeis. </t>
  </si>
  <si>
    <t>6.3.7 g</t>
  </si>
  <si>
    <t>Existe um processo regular de acompanhamento da implementação das recomendações da unidade de controle interno.</t>
  </si>
  <si>
    <t>6.4</t>
  </si>
  <si>
    <t>Controle interno dos jurisdicionados</t>
  </si>
  <si>
    <t>6.4.1 a</t>
  </si>
  <si>
    <t>O Tribunal de Contas estabeleceu iniciativas voltadas à implantação e ao efetivo funcionamento do sistema de controle interno nos respectivos planos estratégicos, com correspondentes metas e indicadores de desempenho, controlados e divulgados sistemática e permanentemente.</t>
  </si>
  <si>
    <t>Pontuação = 4: todos os critérios são cumpridos
Pontuação = 3: cinco critérios são cumpridos
Pontuação = 2: três critérios são cumpridos
Pontuação = 1: um dos critérios é cumprido
Pontuação = 0: nenhum dos critérios é cumprido</t>
  </si>
  <si>
    <t>6.4.2 b</t>
  </si>
  <si>
    <t>O Tribunal de Contas normatizou os requisitos para implantação do sistema de controle interno dos jurisdicionados, seguindo diretrizes da RA 05/2014;</t>
  </si>
  <si>
    <t>6.4.3 c</t>
  </si>
  <si>
    <t>O Tribunal de Contas promove a orientação e a sensibilização dos jurisdicionados acerca da importância e necessidade da efetiva implantação do sistema de controle interno.</t>
  </si>
  <si>
    <t>6.4.4 d</t>
  </si>
  <si>
    <t>O Tribunal de Contas promove ações destinadas a estreitar o relacionamento com as unidades de controle interno dos jurisdicionados, visando à racionalização e integração das atividades de controle, especialmente por meio das ações descritas na Diretriz 29 da RA 05/2014;</t>
  </si>
  <si>
    <t>6.4.5 e</t>
  </si>
  <si>
    <t>O Tribunal de Contas definiu regras para a responsabilização dos agentes públicos em face de irregularidades relativas ao sistema de controle interno, segundo parâmetros definidos na Diretriz 30 da RA 05/2014;</t>
  </si>
  <si>
    <t>6.4.6 f</t>
  </si>
  <si>
    <t>O Tribunal de Contas avaliou o sistema de controle interno dos jurisdicionados, com o propósito de verificar se está adequadamente concebido e se funciona de maneira eficaz, visando à proposição de aprimoramento e de medidas corretivas, com observância aos conceitos e critérios definidos na Diretriz 31 da RA 05/2014;</t>
  </si>
  <si>
    <t>QATC- 7</t>
  </si>
  <si>
    <t>GESTÃO DE TECNOLOGIA DA INFORMAÇÃO</t>
  </si>
  <si>
    <t>7.1</t>
  </si>
  <si>
    <t xml:space="preserve">Estrutura de Tecnologia da Informação </t>
  </si>
  <si>
    <t>7.1.1 a</t>
  </si>
  <si>
    <t>Pontuação = 4: todos os critérios são cumpridos
Pontuação = 3: trêscritérios são cumpridos
Pontuação = 2: dois critérios são cumpridos
Pontuação = 1: um critério é cumprido
Pontuação = 0: nenhum critério é cumprido</t>
  </si>
  <si>
    <t>7.1.2b</t>
  </si>
  <si>
    <t>Tem estrutura física própria</t>
  </si>
  <si>
    <t>7.1.3 c</t>
  </si>
  <si>
    <t>Tem estrutura de pessoal própria</t>
  </si>
  <si>
    <t>7.1.4 d</t>
  </si>
  <si>
    <t>Tem regras de segurança da informação formalizadas: rede, armazenagem etc.</t>
  </si>
  <si>
    <t>7.2</t>
  </si>
  <si>
    <t xml:space="preserve">Política de Tecnologia da Informação </t>
  </si>
  <si>
    <t>7.2.1 a</t>
  </si>
  <si>
    <t>Comitê de TI</t>
  </si>
  <si>
    <t>7.2.2b</t>
  </si>
  <si>
    <t>Política de TI, aprovada pelo Comitê e implementada</t>
  </si>
  <si>
    <t>7.2.3 c</t>
  </si>
  <si>
    <t>Plano estratégico de tecnologia da informação (plano de TI) ou Plano Diretor de Tencologia da Informação (PDTI) implementado e compatível com o planejamento estratégico do Tribunal (PET).</t>
  </si>
  <si>
    <t>7.2.4 e</t>
  </si>
  <si>
    <t>Plano de gestão de risco em TI</t>
  </si>
  <si>
    <t>DOMÍNIO D: RECURSOS HUMANOS E LIDERANÇA</t>
  </si>
  <si>
    <t>DGP/ECPBG</t>
  </si>
  <si>
    <t>QATC-8</t>
  </si>
  <si>
    <t>GESTÃO DE PESSOAS</t>
  </si>
  <si>
    <t>DGP</t>
  </si>
  <si>
    <t>8.1</t>
  </si>
  <si>
    <t xml:space="preserve"> Plano de cargos, carreiras e salários</t>
  </si>
  <si>
    <t>8.1.1 a</t>
  </si>
  <si>
    <t>É aprovado por lei específica</t>
  </si>
  <si>
    <t>8.1.2 b</t>
  </si>
  <si>
    <t>Está devidamente atualizado</t>
  </si>
  <si>
    <t>8.1.3 c</t>
  </si>
  <si>
    <t>Contempla a gestão por competência</t>
  </si>
  <si>
    <t>8.1.4 d</t>
  </si>
  <si>
    <t>Prevê a avaliação de desempenho</t>
  </si>
  <si>
    <t>8.1.5 e</t>
  </si>
  <si>
    <t>Contém regras para o desenvolvimento na carreira baseadas no mérito</t>
  </si>
  <si>
    <t>8.1.6 f</t>
  </si>
  <si>
    <t>Contempla acréscimo remuneratório baseado na produtividade do servidor, devidamente aferida a partir de critérios objetivos</t>
  </si>
  <si>
    <t>8.2</t>
  </si>
  <si>
    <t xml:space="preserve"> Política de saúde e qualidade de vida no trabalho</t>
  </si>
  <si>
    <t>8.2.1 a</t>
  </si>
  <si>
    <t xml:space="preserve">Está formalizada </t>
  </si>
  <si>
    <t>Pontuação = 4: todos os critérios são cumpridos
Pontuação = 3: cinco critérios são cumpridos
Pontuação = 2: três critérios são cumpridos
Pontuação = 1: um critério é cumprido
Pontuação = 0: nenhum critério é cumprido</t>
  </si>
  <si>
    <t>8.2.2 b</t>
  </si>
  <si>
    <t>Contempla a obrigatoriedade de realização de exames periódicos (a cada seis meses)</t>
  </si>
  <si>
    <t>8.2.3 c</t>
  </si>
  <si>
    <t>Faz o acompanhamento, individualizado, das condições gerais de saúde dos servidores</t>
  </si>
  <si>
    <t>8.2.4 d</t>
  </si>
  <si>
    <t xml:space="preserve">Presta assistência à saúde mental dos servidores que apresentem necessidades específicas </t>
  </si>
  <si>
    <t>82.5 e</t>
  </si>
  <si>
    <t>Realiza palestras e campanhas preventivas, tais como vacinação, doação de sangue, tabagismo, prevenção ao câncer de mama e próstata, hipertensão e diabetes</t>
  </si>
  <si>
    <t>8.2.6 f</t>
  </si>
  <si>
    <t>Promove e incentiva a prática de esportes</t>
  </si>
  <si>
    <t>8.2.7 g</t>
  </si>
  <si>
    <t>Contempla programa de preparação para a aposentadoria</t>
  </si>
  <si>
    <t>8.3</t>
  </si>
  <si>
    <t>Recrutamento, lotação e liderança</t>
  </si>
  <si>
    <t>8.3.1 a</t>
  </si>
  <si>
    <t>Existe o dimensionamento prévio da necessidade de pessoal, por unidade</t>
  </si>
  <si>
    <t>8.3.2 b</t>
  </si>
  <si>
    <t>A lotação dos servidores aprovados no concurso atende ao dimensionamento feito</t>
  </si>
  <si>
    <t>8.3.3 c</t>
  </si>
  <si>
    <t>As funções de confiança são exercidas exclusivamente por servidores ocupantes de cargo efetivo</t>
  </si>
  <si>
    <t>8.3.4 d</t>
  </si>
  <si>
    <t>Os cargos em comissão são preenchidos por servidores de carreira nos casos, condições e percentuais mínimos previstos em lei, destinando-se apenas às atribuições de direção, chefia e assessoramento</t>
  </si>
  <si>
    <t>8.3.5 e</t>
  </si>
  <si>
    <t>Existe programa de treinamento e ambientação para os servidores recém-admitidos</t>
  </si>
  <si>
    <t>8.3.6 f</t>
  </si>
  <si>
    <t>O processo de lotação e movimentação interna leva em consideração se as competências do servidor são compatíveis com os requisitos do cargo, conforme pefil pré-definido.</t>
  </si>
  <si>
    <t>Liderança, avaliação de desempenho e valorização dos servidores</t>
  </si>
  <si>
    <t>8.4.1 a</t>
  </si>
  <si>
    <t>Existem perfis dos cargos e funções definidos para todas as unidades de trabalho.</t>
  </si>
  <si>
    <t>8.4.2 b</t>
  </si>
  <si>
    <t>A escolha das lideranças leva em consideração as competências do servidor para o desempenho da função</t>
  </si>
  <si>
    <t>8.4.3 c</t>
  </si>
  <si>
    <t>Existe programa de capacitação permanente de líderes.</t>
  </si>
  <si>
    <t>8.4.4 d</t>
  </si>
  <si>
    <t>Existe avaliação de desempenho com foco em gestão por competência</t>
  </si>
  <si>
    <t>8.4.5 e</t>
  </si>
  <si>
    <t>Realizam-se ações de reconhecimento funcional, como premiações para boas práticas e destaques de trabalhos técnicos</t>
  </si>
  <si>
    <t>8.4.6 f</t>
  </si>
  <si>
    <t>Há instrumento para que os gestores e/ou servidores requeiram capacitação individual ou coletiva  voltada ao aperfeiçoamento de suas competências</t>
  </si>
  <si>
    <t>8.4.7 g</t>
  </si>
  <si>
    <t>Realiza-se regularmente pesquisa de clima organizacional, com monitoramento dos resultados e plano de ação para aperfeiçoamento de sua atuação.</t>
  </si>
  <si>
    <t>QATC-9</t>
  </si>
  <si>
    <t>ESCOLA DE CONTAS</t>
  </si>
  <si>
    <t>ECPBG</t>
  </si>
  <si>
    <t>9.1</t>
  </si>
  <si>
    <t xml:space="preserve"> Estrutura da Escola de Contas</t>
  </si>
  <si>
    <t>9.1.1 a</t>
  </si>
  <si>
    <t>9.1.2 b</t>
  </si>
  <si>
    <t>Possui suas atribuições definidas em instrumento normativo, aprovado pelo Colegiado</t>
  </si>
  <si>
    <t>9.1.3 c</t>
  </si>
  <si>
    <t>9.1.4 d</t>
  </si>
  <si>
    <t xml:space="preserve">Tem estrutura de pessoal própria </t>
  </si>
  <si>
    <t>9.2</t>
  </si>
  <si>
    <t>Planos de Capacitação</t>
  </si>
  <si>
    <t>9.2.1 a</t>
  </si>
  <si>
    <t>Possui plano de capacitação para os Membros do Tribunal</t>
  </si>
  <si>
    <t>9.2.2 b</t>
  </si>
  <si>
    <t>Possui plano de capacitação para os servidores do Tribunal</t>
  </si>
  <si>
    <t>9.2.3 c</t>
  </si>
  <si>
    <t>Possui plano de capacitação para os jurisdicionados</t>
  </si>
  <si>
    <t>9.2.4 d</t>
  </si>
  <si>
    <t>Possui plano de capacitação para controladores sociais (membros de conselhos, estudantes, cidadãos, sociedade civil, Organizações Não Governamentais – ONGs – etc)</t>
  </si>
  <si>
    <t>DOMÍNIO E: CELERIDADE E TEMPESTIVIDADE</t>
  </si>
  <si>
    <t>AUGE/DGG/          CCE</t>
  </si>
  <si>
    <t>QATC-10</t>
  </si>
  <si>
    <t>AGILIDADE NO JULGAMENTO DE PROCESSOS E GERENCIAMENTO DE  PRAZOS PELOS TRIBUNAIS DE CONTAS.</t>
  </si>
  <si>
    <t>AUGE/DGG/CCE</t>
  </si>
  <si>
    <t>10.1</t>
  </si>
  <si>
    <t>Prazos para apreciação de processos (julgamento, emissão de parecer, registro etc.)</t>
  </si>
  <si>
    <t>10.1.1 a</t>
  </si>
  <si>
    <t xml:space="preserve">Contas de governo: até o final do exercício seguinte ao da sua apresentação ao Tribunal. </t>
  </si>
  <si>
    <t>Pontuação = 4: todos os critérios são cumpridos
Pontuação = 3: os critérios “a”, “b”, “e”, “f” e “i” são cumpridos
Pontuação = 2: cinco dos critérios acima são cumpridos
Pontuação = 1: três dos critérios acima é cumprido
Pontuação = 0: apenas dois dos critérios acima são cumpridos</t>
  </si>
  <si>
    <t>10.1.2 b</t>
  </si>
  <si>
    <t>Contas de gestão: até o final do exercício seguinte ao da sua apresentação ao Tribunal.</t>
  </si>
  <si>
    <t>10.1.3 c</t>
  </si>
  <si>
    <t>Tomada de Contas de Exercício ou de Gestão: até o final do exercício seguinte ao da sua tomada pelo Tribunal.</t>
  </si>
  <si>
    <t>10.1.4 d</t>
  </si>
  <si>
    <t>Tomada de Contas Especial: até nove meses da sua autuação no Tribunal</t>
  </si>
  <si>
    <t>10.1.5 e</t>
  </si>
  <si>
    <t>Representações: até nove meses da sua autuação no Tribunal.</t>
  </si>
  <si>
    <t>10.1.6 f</t>
  </si>
  <si>
    <t>Denúncias: até nove meses da sua autuação no Tribunal.</t>
  </si>
  <si>
    <t>10.1.7 g</t>
  </si>
  <si>
    <t>Recursos/Pedido de rescisão: até quatro meses da autuação.</t>
  </si>
  <si>
    <t>10.1.8 h</t>
  </si>
  <si>
    <t>Processos sujeitos a concessões de cautelares
           I - Quanto à concessão: imediata, salvo se houver tempo suficiente para  ouvir a outra parte, o Ministério Público de Contas e/ou o órgão técnico.
          II - Quanto ao julgamento de mérito da cautelar: até dois meses da concessão.</t>
  </si>
  <si>
    <t>10.1.9 i</t>
  </si>
  <si>
    <t>Consultas: até três meses da autuação no Tribunal.</t>
  </si>
  <si>
    <t>10.1.10 j</t>
  </si>
  <si>
    <t>Concursos públicos: até três meses da autuação no Tribunal.</t>
  </si>
  <si>
    <t>10.1.11 k</t>
  </si>
  <si>
    <t>Atos de pessoal (aposentadorias, pensões, reformas etc...): até quatro meses da autuação no Tribunal.</t>
  </si>
  <si>
    <t>10.1.12 l</t>
  </si>
  <si>
    <t>Demais processos (contratos, convênios etc...): até um ano da autuação.</t>
  </si>
  <si>
    <t>10.2</t>
  </si>
  <si>
    <t>Medidas para racionalizar a geração de processos (antes da autuação)</t>
  </si>
  <si>
    <t>10.2.1 a</t>
  </si>
  <si>
    <t>Possui sistemática de planejamento das ações de controle externo com fundamento nos princípios de eficiência, eficácia, efetividade, na avaliação de risco e do custo/benefício do controle</t>
  </si>
  <si>
    <t>Pontuação = 4: todos os critérios são cumpridos
Pontuação = 3: quatro dos critérios acima são cumpridos
Pontuação = 2: dois dos critérios acima são cumpridos
Pontuação = 1: um dos critérios acima é cumprido
Pontuação = 0: nenhum dos critérios acima é cumprido</t>
  </si>
  <si>
    <t>10.2.2 b</t>
  </si>
  <si>
    <t>Constitui processos com fundamento nos princípios da eficiência, eficácia e efetividade, na avaliação de risco e do custo/benefício do controle</t>
  </si>
  <si>
    <t>10.2.3 c</t>
  </si>
  <si>
    <t xml:space="preserve">Estabelece valor de alçada para a formação de processos </t>
  </si>
  <si>
    <t>10.2.4 d</t>
  </si>
  <si>
    <t>Autua em apartado o processo para cobrança de multa, de modo a não prejudicar o andamento do processo principal</t>
  </si>
  <si>
    <t>10.2.5 e</t>
  </si>
  <si>
    <t>Divulga aos jurisdicionados prazos e regras para a autuação dos processos de modo a evitar diligências desnecessárias.</t>
  </si>
  <si>
    <t>10.3</t>
  </si>
  <si>
    <t>Medidas para assegurar maior celeridade à tramitação de processos (após a autuação)</t>
  </si>
  <si>
    <t>10.3.1 a</t>
  </si>
  <si>
    <t xml:space="preserve">Define critérios para classificação dos processos conforme o grau de complexidade </t>
  </si>
  <si>
    <t>Pontuação = 4: todos os critérios são cumpridos
Pontuação = 3: oito dos critérios acima são cumpridos
Pontuação = 2: seis dos critérios acima são cumpridos
Pontuação = 1: três dos critérios acima é cumprido
Pontuação = 0: menos de três dos critérios acima são cumpridos</t>
  </si>
  <si>
    <t>10.3.2 b</t>
  </si>
  <si>
    <t>Define prazos para deliberação final dos processos, em função da sua natureza</t>
  </si>
  <si>
    <t>10.3.3 c</t>
  </si>
  <si>
    <t>Define prazos para cada etapa do processo, considerando o prazo final de deliberação;</t>
  </si>
  <si>
    <t>10.3.4 d</t>
  </si>
  <si>
    <t>Define padrões de qualidade dos relatórios técnicos, bem como sistemática periódica de avaliação;</t>
  </si>
  <si>
    <t>10.3.5 e</t>
  </si>
  <si>
    <t>Estabelece padrões e critérios uniformes para as análises, no que couber;</t>
  </si>
  <si>
    <t>10.3.6 f</t>
  </si>
  <si>
    <t>Atribui competência ao órgão técnico para realização de diligências a fim de complementar a instrução processual;</t>
  </si>
  <si>
    <t>10.3.7 g</t>
  </si>
  <si>
    <t>Aprimora os meios de comunicação dos atos e trâmites processuais;</t>
  </si>
  <si>
    <t>10.3.8 h</t>
  </si>
  <si>
    <t xml:space="preserve">Utiliza o Diário Oficial Eletrônico como principal meio de comunicação dos atos processuais; </t>
  </si>
  <si>
    <t>10.3.9 i</t>
  </si>
  <si>
    <t>Adota o processo eletrônico.</t>
  </si>
  <si>
    <t>10.3.10 j</t>
  </si>
  <si>
    <t>Estabelece no planejamento estratégico metas institucionais qualitativas e quantitativas para análise e deliberação de processos.</t>
  </si>
  <si>
    <t>10.4</t>
  </si>
  <si>
    <t>Medidas para eliminar ou reduzir o estoque de processos e gerenciar os prazos</t>
  </si>
  <si>
    <t>10.4.1 a</t>
  </si>
  <si>
    <t>Realiza inventário do estoque processual, por natureza, fase processual e ano de autuação;</t>
  </si>
  <si>
    <t>Pontuação = 4: todos os critérios são cumpridos
Pontuação = 3: oito dos critérios acima são cumpridos
Pontuação = 2: seis dos critérios acima são cumpridos
Pontuação = 1: três dos critérios acima é cumprido
Pontuação = 0: nenhum dos critérios acima é cumprido</t>
  </si>
  <si>
    <t>10.4.2 b</t>
  </si>
  <si>
    <t>Desenvolve projetos e ações para a redução/eliminação do estoque, com a designação de equipe gestora e definição de metas institucionais;</t>
  </si>
  <si>
    <t>10.4.3 c</t>
  </si>
  <si>
    <t>Aplica os institutos da prescrição e decadência</t>
  </si>
  <si>
    <t>10.4.4 d</t>
  </si>
  <si>
    <t>Estabelece procedimentos de análise conforme critérios de materialidade, relevância e risco e ano da ocorrência dos fatos;</t>
  </si>
  <si>
    <t>10.4.5 e</t>
  </si>
  <si>
    <t>Define agenda de deliberação dos processos em estoque;</t>
  </si>
  <si>
    <t>10.4.6 f</t>
  </si>
  <si>
    <t>Adota decisões monocráticas;</t>
  </si>
  <si>
    <t>Agrupa processos para análise e julgamento em bloco quando as matérias são correlatas.</t>
  </si>
  <si>
    <t>10.4.8 h</t>
  </si>
  <si>
    <t>Contempla, no plano estratégico, medidas para conferir maior celeridade à tramitação dos processos;</t>
  </si>
  <si>
    <t>10.4.9 i</t>
  </si>
  <si>
    <t>Institui sistemática de monitoramento e gerenciamento do cumprimento dos prazos, com apoio de sistema informatizado, com identificação das não conformidades e a emissão de alertas eletrônicos de prazos para membros, servidores e unidades;</t>
  </si>
  <si>
    <t>10.4.10 j</t>
  </si>
  <si>
    <t>Monitora o cumprimento dos prazos pela Corregedoria.</t>
  </si>
  <si>
    <t>QATC-11</t>
  </si>
  <si>
    <t xml:space="preserve"> CONTROLE EXTERNO CONCOMITANTE</t>
  </si>
  <si>
    <t>CCE</t>
  </si>
  <si>
    <t>11.1</t>
  </si>
  <si>
    <t>Marco legal do controle concomitante</t>
  </si>
  <si>
    <t>11.1.1 a</t>
  </si>
  <si>
    <t>Adota o controle externo concomitante como instrumento de efetividade de suas atribuições, estabelecendo-o como atividade prioritária no plano estratégico, com correspondentes metas e indicadores de desempenho, controlados e divulgados sistemática e permanentemente.</t>
  </si>
  <si>
    <t>Pontuação = 4: todos os critérios são cumpridos
Pontuação = 3: cinco critérios são cumpridos
Pontuação = 2: três dos critérios são cumpridos
Pontuação = 1: um dos critérios é cumprido
Pontuação = 0: nenhum dos critérios é cumprido</t>
  </si>
  <si>
    <t>11.1.2 b</t>
  </si>
  <si>
    <t>Possui normativo sobre as responsabilidades pelas atividades do controle externo concomitante.</t>
  </si>
  <si>
    <t>11.1.3 c</t>
  </si>
  <si>
    <t>Possui normativo sobre prazos e regras para o envio de documentos e informações pelos jurisdicionados, preferencialmente por meio eletrônico, de forma a possibilitar o exercício tempestivo do controle externo concomitante .</t>
  </si>
  <si>
    <t>11.1.4 d</t>
  </si>
  <si>
    <t>Possui normativo sobre os critérios de risco (criticidade, relevância e materialidade) que indicarão os jurisdicionados a serem controlados concomitantemente, sem prejuízo de que o Tribunal poderá, a qualquer tempo fiscalizar e julgar outros nela não contemplados.</t>
  </si>
  <si>
    <t>11.1.5 e</t>
  </si>
  <si>
    <t>Possui regras e procedimentos padrão de controle externo concomitante, em função dos objetos e especificidades dos atos controlados.</t>
  </si>
  <si>
    <t>11.1.6 f</t>
  </si>
  <si>
    <t>Possui padrão de relatórios, pareceres e outros produtos técnicos, em função dos objetos e especificidades dos atos controlados.</t>
  </si>
  <si>
    <t>11.1.7 g</t>
  </si>
  <si>
    <t xml:space="preserve">Possui normativo sobre a sistemática interna de gerenciamento e controle de prazos e da qualidade do controle externo concomitante, abrangendo todas as suas fases e unidades responsáveis, preferencialmente com o uso de ferramentas eletrônicas e com a participação da Corregedoria, a quem cabe expedir alertas, notificações, orientações, recomendações e, se for o caso, propor a aplicação de sanções. </t>
  </si>
  <si>
    <t>11.2</t>
  </si>
  <si>
    <t xml:space="preserve">Planejamento e execução do controle concomitante </t>
  </si>
  <si>
    <t>11.2.1 a</t>
  </si>
  <si>
    <t>É exercido de ofício pelo Tribunal de Contas, segundo os critérios de relevância, materialidade e risco, respaldados em técnicas e procedimentos de auditoria (Normas de Auditoria Governamental – NAGs, ou de outra que vier a substituí-las), bem como mediante provocação de terceiros em processos de denúncias e representações.</t>
  </si>
  <si>
    <t>Pontuação = 4: os critérios “a”, “b”, “c”, “d” e “i”, e pelos menos mais cinco são cumpridos
Pontuação = 3: oito critérios são cumpridos
Pontuação = 2: seis dos critérios são cumpridos
Pontuação = 1: quatro dos critérios são cumpridos
Pontuação = 0: menos de quatro dos critérios são cumpridos</t>
  </si>
  <si>
    <t>11.2.2 b</t>
  </si>
  <si>
    <t>Abrange especialmente atos e procedimentos relacionados à instituição, arrecadação e renúncia das receitas; o acompanhamento dos indicadores da LRF e a realização das despesas, incluindo licitações, contratos, convênios, concursos públicos, obras, processos seletivos simplificados e atos de pessoal.</t>
  </si>
  <si>
    <t>11.2.3 c</t>
  </si>
  <si>
    <t xml:space="preserve">Tem por objeto de análise os atos ou procedimentos já formalizados ou validados pelos responsáveis, ainda que em fases intermediárias do processo, a exemplo de edital de licitação publicado, licitação homologada, contrato publicado, concurso publicado, medições autorizadas, despesas atestadas, despesas pagas etc. </t>
  </si>
  <si>
    <t>11.2.4 d</t>
  </si>
  <si>
    <t>Assegura o devido processo legal, especialmente, o direito ao contraditório e à ampla defesa, sempre que possível, antes da decisão.</t>
  </si>
  <si>
    <t>11.2.5 e</t>
  </si>
  <si>
    <t>Compreende a adoção de procedimentos de acompanhamento e controle da gestão dos jurisdicionados ainda durante o exercício em que são praticados os atos, com o julgamento dos processos dele decorrentes durante ou até no máximo o final do exercício seguinte ao da sua apresentação, ressalvadas a complexidade da matéria e os incidentes processuais.</t>
  </si>
  <si>
    <t>11.2.6 f</t>
  </si>
  <si>
    <t>Possui como instrumentos, entre outros: auditoria, inspeção, diligência, exame de editais e atos sujeitos a registro, acompanhamento.</t>
  </si>
  <si>
    <t>11.2.7 g</t>
  </si>
  <si>
    <t>É exercido sobre as denúncias e representações.</t>
  </si>
  <si>
    <t>11.2.8 h</t>
  </si>
  <si>
    <t>É subsidiado por ferramenta eletrônica que viabilize o recebimento, processamento e análise de documentos e informações dos jurisdicionados, bem como a emissão de relatórios, pareceres e outros documentos técnicos  – autos digitais.</t>
  </si>
  <si>
    <t>11.2.9 i</t>
  </si>
  <si>
    <t>É realizado  exclusivamente por servidores efetivos, ocupantes da carreira de auditores de controle externo ou equivalentes .</t>
  </si>
  <si>
    <t>11.2.10 j</t>
  </si>
  <si>
    <t>Resulta em alertas, representações, medidas cautelares, recomendações, determinações, termos de ajustamento de gestão e sanções aos jurisdicionados.</t>
  </si>
  <si>
    <t>11.2.11 k</t>
  </si>
  <si>
    <t>É concluído com o julgamento dos processos dele decorrentes, incluindo denúncias e representações, nos prazos definidos institucionalmente.</t>
  </si>
  <si>
    <t>11.2.12 l</t>
  </si>
  <si>
    <t>É gerenciado de forma sistemática quanto aos prazos e à qualidade, com a aplicação oportuna de medidas orientativas, corretivas e sancionadoras.</t>
  </si>
  <si>
    <t>11.2.13 m</t>
  </si>
  <si>
    <t>Tem seus resultados das fases do seu procedimento amplamente divulgados.</t>
  </si>
  <si>
    <t>11.3</t>
  </si>
  <si>
    <t>Termos de Ajuste de Gestão e Medidas Cautelares</t>
  </si>
  <si>
    <t>11.3.1 a</t>
  </si>
  <si>
    <t>As medidas cautelares são disciplinadas por resolução ou lei, as quais são adotadas nos casos em que houver fundado risco de consumação, reiteração ou continuação de lesão ao erário ou de grave irregularidade, bem como de ineficácia de futura decisão de mérito do Tribunal de Contas</t>
  </si>
  <si>
    <t>Pontuação = 4: todos os critérios são cumpridos
Pontuação = 3: cinco critérios são cumpridos
Pontuação = 2: três dos critérios acima são cumpridos
Pontuação = 1: um dos critérios acima é cumprido
Pontuação = 0: nenhum dos critérios acima é cumprido</t>
  </si>
  <si>
    <t>11.3.2 b</t>
  </si>
  <si>
    <t>As medidas cautelares são concedidas com observância ao princípio da proporcionalidade em sentido estrito, de modo a assegurar que os seus efeitos resultarão em mais benefícios que prejuízos ao interesse público.</t>
  </si>
  <si>
    <t>11.3.3 c</t>
  </si>
  <si>
    <t>São aplicadas sanções aos jurisdicionados pelo descumprimento das medidas cautelares, preferencialmente multas diárias, com fundamento na lei orgânica e, subsidiariamente, no art. 461 do CPC.</t>
  </si>
  <si>
    <t>11.3.4 d</t>
  </si>
  <si>
    <t>Os recursos são analisados em processo independente, apartado do principal, sem efeito suspensivo automático, exceto se concedido por decisão do colegiado;</t>
  </si>
  <si>
    <t>11.3.5 e</t>
  </si>
  <si>
    <t>Os termos de ajuste de gestão são regulamentados, na forma e objetivos elencados na Diretriz 23, “o”, da RA 02/2014.</t>
  </si>
  <si>
    <t>11.3.6 f</t>
  </si>
  <si>
    <t>Os compromissos assumidos nos termos de ajuste de gestão são monitorados regularmente pela unidade de fiscalização.</t>
  </si>
  <si>
    <t>11.4</t>
  </si>
  <si>
    <t>Controle concomitante das licitações, contratos, convênios e obras</t>
  </si>
  <si>
    <t>11.4.1 a</t>
  </si>
  <si>
    <t>Realiza o controle concomitante de licitações e contratos, ainda que por amostragem, com atendimento dos seguintes requisitos mínimos:
               I) Possui sistema informatizado de acompanhamento das licitações, desde a publicação do edital à conclusão do contrato respectivo.
              II) Procede à análise dos editais de licitações, antes do recebimento das propostas
             III) Acompanha a legalidade e economicidade dos atos do processo licitatório, até a adjudicação;
            IV) Expede medida cautelar, quando cabível, para sustação do procedimento eivado de ilegalidade
             V) Determina as correções cabíveis nos procedimentos licitatórios</t>
  </si>
  <si>
    <t>Pontuação = 4: todos os critérios são cumpridos
Pontuação = 3: três critérios são cumpridos
Pontuação = 2: dois dos critérios são cumpridos
Pontuação = 1: um dos critérios é cumprido
Pontuação = 0: nenhum dos critérios é cumprido</t>
  </si>
  <si>
    <t>11.4.2 b</t>
  </si>
  <si>
    <t>Realiza o controle concomitante de convênios, ainda que por amostragem,  com atendimento dos seguintes requisitos mínimos:
              I) Possui sistema informatizado de acompanhamento dos convênios, desde a sua celebração.
             II) Procede, ainda que por amostragem, à análise dos termos de convênios antes da conclusão da sua execução;
            III) Procede, ainda que por amostragem, à fiscalização da execução dos convênios;
           IV) Expede medida cautelar, quando cabível, para sustação do procedimento eivado de ilegalidade.</t>
  </si>
  <si>
    <t>11.4.3 c</t>
  </si>
  <si>
    <t>Realiza o controle concomitante de obras, com atendimento dos seguintes requisitos mínimos:
             I) Possui sistema informatizado de acompanhamento da execução de obras que contenha, pelo menos, imagens das etapas das obras (georeferenciadas), valor do contrato, medições realizadas, desembolsos e prazos de execução; 
            II) Procede, ainda que por amostragem, à análise dos editais para a contratação de obras;
           III) Procede, ainda que por amostragem, à fiscalização da execução de obras;
          IV) Expede medida cautelar, quando cabível, para paralisação de obras ou para a retenção de valores no montante correspondente à irregularidade inicialmente detectada
          V) Determina medidas corretivas na execução das obras.</t>
  </si>
  <si>
    <t>11.4.4 d</t>
  </si>
  <si>
    <t>Realiza o controle concomitante de atos de pessoal, ainda que por amostragem, com atendimento aos seguintes requisitos mínimos:
           I) Possui sistema informatizado de acompanhamento dos atos de admissão
          II) Procede à análise dos editais de concursos públicos
         III) Procede à fiscalização da realização de concursos públicos
        IV) Expede medida cautelar, quando cabível, para sustação dos atos considerados eivados de vícios
        V) Aprecia o mérito da cautelar em até três meses de sua concessão
       VI) Determina medidas corretivas na realização de concursos públicos</t>
  </si>
  <si>
    <t xml:space="preserve">QATC-12 </t>
  </si>
  <si>
    <t>INFORMAÇÕES ESTRATÉGICAS PARA O CONTROLE EXTERNO</t>
  </si>
  <si>
    <t>CCE/ASPIN</t>
  </si>
  <si>
    <t>12.1</t>
  </si>
  <si>
    <t>Marco Legal da unidade de informações estratégicas</t>
  </si>
  <si>
    <t>12.1.1 a</t>
  </si>
  <si>
    <t>Instituiu e implantou a unidade de informações estratégicas, independentemente de sua denominação, mediante instrumento normativo que contemplou os requisitos previstos no Regimento Interno da Rede InfoContas.</t>
  </si>
  <si>
    <t>Pontuação = 4: Todos os critérios são cumpridos.
Pontuação = 3: Três critérios são cumpridos.
Pontuação = 2: Dois critérios são cumpridos.
Pontuação = 1: Um critério é cumprido.
Pontuação = 0: Nenhum dos critérios é cumprido.</t>
  </si>
  <si>
    <t>12.1.2 b</t>
  </si>
  <si>
    <t>Confere à unidade de informações estratégicas autonomia e independência funcional, nos termos das Normas de Auditoria Governamentais – NAGs, suficientes para desempenhar as atividades estabelecidas no Acordo de Cooperação Técnica e Regimento Interno da Rede InfoContas, garantindo que os dados obtidos, tratados, armazenados e consultados pelos servidores da unidade sejam utilizados apenas no âmbito das atribuições funcionais deste setor</t>
  </si>
  <si>
    <t>12.1.3 c</t>
  </si>
  <si>
    <t>Assegura que os dados sejam manuseados de acordo com a legislação nacional de proteção de dados pessoais e a privacidade, em especial o disposto no art. 5º, inc. X e XXXIII, da Constituição Federal e no art. 31, caput e § 2º, da Lei Federal nº 12.527/2011.</t>
  </si>
  <si>
    <t>12.1.4 d</t>
  </si>
  <si>
    <t>Vincula a unidade de informações estratégicas à unidade superior de controle externo;</t>
  </si>
  <si>
    <t>12.2</t>
  </si>
  <si>
    <t xml:space="preserve">Infraestrutura da unidade de informações estratégicas </t>
  </si>
  <si>
    <t>12.2.1 a</t>
  </si>
  <si>
    <t xml:space="preserve">Dota a unidade de informações estratégicas de estruturas física e de pessoal suficientes e adequadas para o pleno funcionamento de suas atividades e a garantia de suas prerrogativas; </t>
  </si>
  <si>
    <t>12.2.2 b</t>
  </si>
  <si>
    <t>Assegura, na unidade de informações estratégicas, a lotação de servidor efetivo da carreira de controle externo com capacitação específica na área de inteligência, abrangendo no mínimo os fundamentos da doutrina.</t>
  </si>
  <si>
    <t>12.2.3 c</t>
  </si>
  <si>
    <t>Garante à unidade de informação estratégica a infraestrutura de tecnologia de informação e comunicação protegida e com acesso restrito aos profissionais lotados na unidade.</t>
  </si>
  <si>
    <t>12.2.4 d</t>
  </si>
  <si>
    <t>Garante de forma continuada aos servidores lotados na unidade de informações estratégicas a capacitação necessária ao desenvolvimento de suas atividades.</t>
  </si>
  <si>
    <t>12.3</t>
  </si>
  <si>
    <t xml:space="preserve">Competências da unidade de informações estratégicas </t>
  </si>
  <si>
    <t>12.3.1 a</t>
  </si>
  <si>
    <t xml:space="preserve">Exercício da atividade especializada de produção de conhecimentos que permitam às autoridades competentes, nos níveis estratégico, tático e operacional, adotar decisões que resultem em aumento de eficiência das ações de controle externo </t>
  </si>
  <si>
    <t>Pontuação = 4: Todos os critérios são cumpridos.
Pontuação = 3: Seis critérios são cumpridos.
Pontuação = 2: Quatro critérios são cumpridos.
Pontuação = 1: Dois critérios são cumpridos.
Pontuação = 0: Nenhum dos critérios acima é cumprido.</t>
  </si>
  <si>
    <t>12.3.2 b</t>
  </si>
  <si>
    <t>Realização de ações que exijam a utilização de métodos e técnicas de investigação de ilícitos administrativos, nos termos da cláusula primeira do Acordo de Cooperação Técnica da Rede InfoContas.</t>
  </si>
  <si>
    <t>12.3.3 c</t>
  </si>
  <si>
    <t>Adoção de métodos, técnicas, procedimentos e formalidades inerentes à atividade de inteligência, inclusive classificação, reclassificação e desclassificação de informações sigilosas, bem como implementação de medidas de proteção para as que receber, em conformidade com a legislação vigente e as normas aplicáveis ao Sistema Brasileiro de Inteligência (Sisbin).</t>
  </si>
  <si>
    <t>12.3.4 d</t>
  </si>
  <si>
    <t>Elaboração de estratégias e ações de inteligência, exclusivamente por meio da obtenção, sistematização e análise de dados coletados, oriundos de base de dados própria ou custodiadas, visando à produção de conhecimento para tomada de decisões. (Relatório de Análise de Tipologia; Relatório de Pesquisa; Relatório de Inteligência, dentre outros);</t>
  </si>
  <si>
    <t>12.3.5 e</t>
  </si>
  <si>
    <t>Adoção de medidas de segurança internas que visem à prevenção, detecção, obstrução e a neutralização de ações adversas de qualquer natureza que ameacem a tramitação, segurança e salvaguarda dos dados e conhecimentos, das pessoas, dos materiais, e das áreas e instalações de interesse das Unidades de Informações Estratégicas.</t>
  </si>
  <si>
    <t>12.3.6 f</t>
  </si>
  <si>
    <t>Proposição de medidas de segurança institucional visando a garantir a segurança, o sigilo e a proteção dos dados e conhecimentos produzidos;</t>
  </si>
  <si>
    <t>12.3.7 g</t>
  </si>
  <si>
    <t xml:space="preserve">Solicitação de informações estratégicas a órgãos e entidades que atuem nas áreas de fiscalização, investigação e inteligência; </t>
  </si>
  <si>
    <t>12.3.8 h</t>
  </si>
  <si>
    <t xml:space="preserve">Elaboração e validação de tipologias visando a identificar indícios de irregularidades administrativas com vistas à prevenção e ao combate à corrupção; </t>
  </si>
  <si>
    <t>12.4</t>
  </si>
  <si>
    <t xml:space="preserve">Cooperação Interinstitucional </t>
  </si>
  <si>
    <t>12.4.1 a</t>
  </si>
  <si>
    <t>Aderiu à Rede Nacional de Informações Estratégicas para o Controle Externo (Infocontas), nos termos previstos no Acordo de Cooperação Técnica que institui a Rede</t>
  </si>
  <si>
    <t>Pontuação = 4: Todos os critérios são cumpridos.
Pontuação = 3: Três critérios são cumpridos.
Pontuação = 2: Dois critérios são cumpridos.
Pontuação = 1: Um critério é cumprido.
Pontuação = 0: Nenhum dos critérios acima é cumprido.</t>
  </si>
  <si>
    <t>12.4.2 b</t>
  </si>
  <si>
    <t>Mantém acordos de cooperação com outras entidades visando ao compartilhamento de base de dados pela unidade de informações estratégicas.</t>
  </si>
  <si>
    <t>12.4.3 c</t>
  </si>
  <si>
    <t>Interage com outros órgãos e entidades da Administração Pública com o objetivo de estabelecer o intercâmbio e compartilhamento de informações e conhecimentos estratégicos que apoiem as ações de controle externo;</t>
  </si>
  <si>
    <t>12.4.4 d</t>
  </si>
  <si>
    <t xml:space="preserve">Possui acesso à Rede Infoseg, da Secretaria Nacional de Segurança Pública. </t>
  </si>
  <si>
    <t xml:space="preserve">QATC-13 </t>
  </si>
  <si>
    <t>ACOMPANHAMENTO DAS DECISÕES</t>
  </si>
  <si>
    <t>AUGE/CORG/CCE</t>
  </si>
  <si>
    <t>13.1</t>
  </si>
  <si>
    <t>Estrutura de acompanhamento das decisões</t>
  </si>
  <si>
    <t>13.1.1 a</t>
  </si>
  <si>
    <t xml:space="preserve">Possui unidade de acompanhamento do cumprimento das decisões na estrutura organizacional </t>
  </si>
  <si>
    <t>13.1.2 b</t>
  </si>
  <si>
    <t>Definiu claramente as atribuições da unidade em instrumento normativo.</t>
  </si>
  <si>
    <t>13.1.3 c</t>
  </si>
  <si>
    <t>Dota a unidade de estrutura física própria</t>
  </si>
  <si>
    <t>13.1.4 d</t>
  </si>
  <si>
    <t>Dota a unidade de estrutura de pessoal própria</t>
  </si>
  <si>
    <t>13.2</t>
  </si>
  <si>
    <t>Processos de acompanhamento da aplicação de multas, imputação de débitos, determinações e recomendações</t>
  </si>
  <si>
    <t>13.2.1 a</t>
  </si>
  <si>
    <t>Possui mecanismos informatizados de acompanhamento das decisões.</t>
  </si>
  <si>
    <t>Pontuação = 4: todos os critérios são cumpridos
Pontuação = 3: os critérios “a”, “d”, “e” e dois critérios são cumpridos
Pontuação = 2: três critérios são cumpridos
Pontuação = 1: dois critérios são cumpridos
Pontuação = 0: nenhum critério é cumprido</t>
  </si>
  <si>
    <t>13.2..2 b</t>
  </si>
  <si>
    <t>Emite relatórios gerenciais sobre o acompanhamento das decisões</t>
  </si>
  <si>
    <t>13.2.3 c</t>
  </si>
  <si>
    <t>Divulga relatórios sobre o acompanhamento das decisões</t>
  </si>
  <si>
    <t>13.2.4 d</t>
  </si>
  <si>
    <t>Adota ações efetivas para ressarcimento dos débitos (ex: assina prazo para que a pessoa jurídica pública lesada promova as medidas legais para o ressarcimento)</t>
  </si>
  <si>
    <t>13.2.5 e</t>
  </si>
  <si>
    <t>Adota ações efetivas para pagamento das multas (ex: assina prazo para efetuar o pagamento e encaminhamento para cobrança judicial)</t>
  </si>
  <si>
    <t>13.2.6 f</t>
  </si>
  <si>
    <t>Contempla, nos relatórios de inspeção ou auditoria, item específico para a verificação da implementação das determinações e recomendações anteriores;</t>
  </si>
  <si>
    <t>13.2.7 g</t>
  </si>
  <si>
    <t>Monitora o cumprimento do Termo de Ajustamento de Gestão</t>
  </si>
  <si>
    <t>ACORDOS DE COOPERAÇÃO TÉCNICA COM OUTROS ORGÃOS</t>
  </si>
  <si>
    <t>14.1</t>
  </si>
  <si>
    <t>Acordo de cooperação técnica com outros órgãos de controle</t>
  </si>
  <si>
    <t>14.1.1 a</t>
  </si>
  <si>
    <t>Possui acordos formais com pelo menos quatro órgãos (Outros Tribunais de Contas, Controladoria Geral da União, Controladoria Geral do Estado, Ministérios Públicos Estadual, Federal, do Trabalho, Estratégia de Combate à Corrupção e à Lavagem de Dinheiro, Polícia Federal, Receita Federal do Brasil etc...)</t>
  </si>
  <si>
    <t>Pontuação = 4: todos os critérios são cumpridos
Pontuação = 3: três critérios são cumpridos
Pontuação = 2: dois critérios são cumpridos
Pontuação = 1: um critério é cumprido
Pontuação = 0: nenhum dos critérios é cumprido</t>
  </si>
  <si>
    <t>14.1.2 b</t>
  </si>
  <si>
    <t>Emite relatórios que atestem os benefícios para o Tribunal de pelo menos um dos acordos de cooperação</t>
  </si>
  <si>
    <t>14.1.3 c</t>
  </si>
  <si>
    <t>Emite relatórios que atestem os benefícios para o cooperado de pelo menos um dos acordos de cooperação</t>
  </si>
  <si>
    <t>14.1.4 d</t>
  </si>
  <si>
    <t>Emite relatórios que atestem os benefícios para o cidadão de pelo menos um dos acordos de cooperação</t>
  </si>
  <si>
    <t>QATC- 15</t>
  </si>
  <si>
    <t>DESENVOLVIMENTO LOCAL</t>
  </si>
  <si>
    <t>15.1</t>
  </si>
  <si>
    <t xml:space="preserve">Marco legal </t>
  </si>
  <si>
    <t>15.1.1 a</t>
  </si>
  <si>
    <t>Fixou o cumprimento da Lei Complementar nº 123/2006 como item de verificação obrigatória no controle externo.</t>
  </si>
  <si>
    <t>15.1.2 b</t>
  </si>
  <si>
    <t>Destaca as conclusões técnicas nos relatórios de fiscalização, de modo a impactar o julgamento das correspondentes contas anuais.</t>
  </si>
  <si>
    <t>15.1.3 c</t>
  </si>
  <si>
    <t>Regulamenta e divulga regras e prazos para o envio de documentos e informações pelos jurisdicionados relativos ao cumprimento da Lei Complementar 123/2006, preferencialmente por meio eletrônico, de forma a possibilitar o controle externo concomitante sobre as contratações públicas.</t>
  </si>
  <si>
    <t>15.1.4 d</t>
  </si>
  <si>
    <t>Regulamenta e implementa ações voltadas ao cumprimento do disposto na Lei Complementar 123/2006 nas contratações realizadas pelo Tribunal de Contas.</t>
  </si>
  <si>
    <t>15.2</t>
  </si>
  <si>
    <t>Implementação da norma</t>
  </si>
  <si>
    <t>15.2.1 a</t>
  </si>
  <si>
    <t>Possui acordo de cooperação técnica com a unidade regional do Serviço Brasileiro de Apoio às Micro e Pequenas Empresas - SEBRAE, tendo como objeto a conjugação de esforços para a criação de um ambiente favorável à implementação da Lei Complementar 123/2006 no Estado e Municípios (Diretriz 12 da RA 09/2014);</t>
  </si>
  <si>
    <t>Pontuação = 4: Todos os critérios são cumpridos
Pontuação = 3: quatro critérios são cumpridos
Pontuação = 2: três dos critérios são cumpridos
Pontuação = 1: um dos critérios é cumprido
Pontuação = 0: menos de dois dos critérios é cumprido</t>
  </si>
  <si>
    <t>15.2.2 b</t>
  </si>
  <si>
    <t>Promove ações junto aos jurisdicionados visando à aprovação e à implementação de lei local que regulamente o tratamento diferenciado e simplificado para as microempresas e empresas de pequeno porte nas contratações públicas, objetivando a promoção do desenvolvimento econômico e social no âmbito municipal e regional, a ampliação da eficiência das políticas públicas e o incentivo à inovação tecnológica, a que se refere o art. 47 da Lei Complementar 123/2006.</t>
  </si>
  <si>
    <t>15.2.3 c</t>
  </si>
  <si>
    <t>Assegura capacitação permanente às equipes técnicas do Tribunal de Contas para a efetiva fiscalização do disposto na Lei Complementar 123/2006.</t>
  </si>
  <si>
    <t>15.2.4 d</t>
  </si>
  <si>
    <t>Atua cooperativamente com outras instituições de controle promovendo o intercâmbio de informações e documentos, a troca de experiências, a identificação e a divulgação de casos exitosos e o apoio técnico visando à implementação da Lei Complementar 123/2006.</t>
  </si>
  <si>
    <t>15.2.5 e</t>
  </si>
  <si>
    <t>Produz, a partir das informações recebidas e das análises realizadas, indicadores de resultado acerca da implementação da Lei Complementar no Estado e Municípios, dando-lhes ampla divulgação e transparência (Diretriz 21 da RA 09/2014);</t>
  </si>
  <si>
    <t>15.2.6 f</t>
  </si>
  <si>
    <t>Realiza campanhas de esclarecimento sobre a matéria junto à opinião pública local, informando que irregularidades detectadas pelos cidadãos podem ser levadas ao conhecimento da Ouvidoria do Tribunal (Diretrizes 17 e 22 da RA 09/2014)</t>
  </si>
  <si>
    <t>QATC-16</t>
  </si>
  <si>
    <t>ORDEM NO PAGAMENTO PÚBLICO</t>
  </si>
  <si>
    <t>16.1</t>
  </si>
  <si>
    <t>16.1.1 a</t>
  </si>
  <si>
    <t>Fixou o cumprimento do art. 5º, da Lei nº 8.666/93 como item de verificação obrigatória no controle externo.</t>
  </si>
  <si>
    <t>Pontuação = 4: todos os critérios são cumpridos
Pontuação = 3: quatro critérios são cumpridos
Pontuação = 2: dois dos critérios são cumpridos
Pontuação = 1: um dos critérios é cumprido
Pontuação = 0: nenhum dos critérios é cumprido</t>
  </si>
  <si>
    <t>16.1.2 b</t>
  </si>
  <si>
    <t xml:space="preserve">Destaca as conclusões técnicas nos relatórios de fiscalização, de modo a impactar o julgamento das correspondentes contas anuais. </t>
  </si>
  <si>
    <t>16.1.3 c</t>
  </si>
  <si>
    <t>Define como obrigatória a implementação, por parte da Administração Pública, de sistema informatizado que possibilite a divulgação em tempo real, na rede mundial de computadores, das diversas ordens cronológicas e das respectivas listas de credores, com ampla acessibilidade a qualquer cidadão.</t>
  </si>
  <si>
    <t>16.1.4 d</t>
  </si>
  <si>
    <t>Regulamenta e divulga prazos e regras para o envio de documentos e informações pelos jurisdicionados, comprobatórios do cumprimento da ordem cronológica nos pagamentos, preferencialmente por meio eletrônico.</t>
  </si>
  <si>
    <t>16.1.5 e</t>
  </si>
  <si>
    <t>Regulamenta e implementa ações voltadas ao cumprimento da ordem cronológica nos pagamentos realizados pelo Tribunal de Contas.</t>
  </si>
  <si>
    <t>16.2</t>
  </si>
  <si>
    <t>16.2.1 a</t>
  </si>
  <si>
    <t>Promove ações junto aos jurisdicionados, visando à edição de lei local e/ou decreto que regulamente o cumprimento do art. 5º da Lei 8.666/93, contemplando os requisitos mínimos definidos na Diretriz 11 da RA 08/2014;</t>
  </si>
  <si>
    <t>Pontuação = 4: todos os critérios são cumpridos
Pontuação = 3: seis critérios são cumpridos
Pontuação = 2: quatro dos critérios são cumpridos
Pontuação = 1: dois dos critérios é cumprido
Pontuação = 0: nenhum dos critérios é cumprido</t>
  </si>
  <si>
    <t>16.2.2 b</t>
  </si>
  <si>
    <t>Realiza eventos de capacitação destinados aos servidores dos jurisdicionados sobre a correta aplicação do artigo 5º da Lei nº 8.666/93, e disponibiliza orientação permanente (Diretriz 16 da RA 08/2014);</t>
  </si>
  <si>
    <t>16.2.3 c</t>
  </si>
  <si>
    <t>Afere o efetivo cumprimento da ordem cronológica de exigibilidade nos pagamentos.</t>
  </si>
  <si>
    <t>16.2.4 d</t>
  </si>
  <si>
    <t>Atua cooperativamente com outras instituições de controle, dentro de suas competências institucionais, promovendo o intercâmbio de informações e documentos, a troca de experiências, a identificação e a divulgação de casos exitosos e o apoio técnico, visando ao cumprimento do artigo 5º da Lei 8.666/93 (Diretriz 19 da RA 08/2014);</t>
  </si>
  <si>
    <t>16.2.5 e</t>
  </si>
  <si>
    <t>Representa ao Ministério Público, se apurado indício do crime previsto no art. 92 da Lei nº 8.666/93.</t>
  </si>
  <si>
    <t>16.2.6 f</t>
  </si>
  <si>
    <t>Produz, a partir das informações recebidas e das análises realizadas, indicadores de resultado acerca do cumprimento do disposto no art. 5º da Lei 8.666/93, dando ampla divulgação e transparência .</t>
  </si>
  <si>
    <t>16.2.7 g</t>
  </si>
  <si>
    <t>Realiza campanhas de esclarecimento sobre a matéria junto à opinião pública local, com ampla divulgação destas diretrizes, informando que irregularidades detectadas pelos cidadãos podem ser noticiadas na Ouvidoria do Tribunal.</t>
  </si>
  <si>
    <t>16.2.8 h</t>
  </si>
  <si>
    <t>Apoia e participa de campanha nacional “Ordem nos Pagamentos Públicos” promovida pela Atricon e parceiros.</t>
  </si>
  <si>
    <t>DOMÍNIO F: NORMAS E METODOLOGIA DE AUDITORIA</t>
  </si>
  <si>
    <t>PLANEJAMENTO GERAL DA AUDITORIA E GESTÃO DA QUALIDADE</t>
  </si>
  <si>
    <t>17.1</t>
  </si>
  <si>
    <t>Plano de Auditoria</t>
  </si>
  <si>
    <t>17.1.1 a</t>
  </si>
  <si>
    <t>Segue uma metodologia baseada em riscos.</t>
  </si>
  <si>
    <t>Pontuação = 4: Todos os critérios são cumpridos.
Pontuação = 3: Os critérios (a), (d), (e) e pelo menos um dos demais critérios são cumpridos.
Pontuação = 2: Pelo menos os critérios (a) e (d) são cumpridos.
Pontuação = 1: Pelo menos dois dos critérios são cumpridos.
Pontuação = 0: O TC não conta com um processo para a formulação de um plano de auditoria ou o processo cumpre apenas um dos critérios acima.</t>
  </si>
  <si>
    <t>17.1.2 b</t>
  </si>
  <si>
    <t>Identifica os jurisdicionados e os tipos de auditoria</t>
  </si>
  <si>
    <t>17.1.3 c</t>
  </si>
  <si>
    <t>Especifica os recursos humanos e financeiros necessários para executar as auditorias planejadas.</t>
  </si>
  <si>
    <t>17.1.4 d</t>
  </si>
  <si>
    <t>Contém cronograma para a execução de todas as auditorias.</t>
  </si>
  <si>
    <t>17.1.5 e</t>
  </si>
  <si>
    <t>Prevê o monitoramento.</t>
  </si>
  <si>
    <t>17.2</t>
  </si>
  <si>
    <t>Controle e Garantia da Qualidade</t>
  </si>
  <si>
    <t>17.2.1 a</t>
  </si>
  <si>
    <t>Possui políticas e procedimentos de controle da qualidade aprovados (CQ).</t>
  </si>
  <si>
    <t>Pontuação = 4: todos os critérios são cumpridos
 Pontuação = 3: pelo menos os critérios (a), (b), (c), (d), (e) e (f) são cumpridos 
Pontuação = 2: pelo menos quatro dos critérios são cumpridos 
Pontuação = 1: pelo menos dois dos critérios são cumpridos 
Pontuação = 0: menos de dois critérios são cumpridos</t>
  </si>
  <si>
    <t>17.2.2 b</t>
  </si>
  <si>
    <t>O controle de qualidade é procedimento rotineiro nos trabalhos auditoriais.</t>
  </si>
  <si>
    <t>17.2.3 c</t>
  </si>
  <si>
    <t>Possui políticas e procedimentos de garantia da qualidade (GQ).</t>
  </si>
  <si>
    <t>17.2.4 d</t>
  </si>
  <si>
    <t>Assegura que as avaliações de GQ das auditorias, passando por uma avaliação de uma amostra das auditorias concluídas, são feitas pelo menos anualmente, em conformidade com os critérios de seleção do Tribunal.</t>
  </si>
  <si>
    <t>17.2.5 e</t>
  </si>
  <si>
    <t>Exige que a responsabilidade pelo processo de monitoramento da GQ seja atribuída a uma ou mais pessoas com a devida experiência e autoridade para assumir tal responsabilidade.</t>
  </si>
  <si>
    <t>17.2.6 f</t>
  </si>
  <si>
    <t>Exige que as pessoas que fizerem a QG sejam independentes, ou seja, não tenham participado do trabalho nem da análise do controle de qualidade do trabalho.</t>
  </si>
  <si>
    <t>17.2.7 g</t>
  </si>
  <si>
    <t>Assegura que os resultados do monitoramento do sistema de controle de qualidade sejam informados à autoridade do Tribunal responsável pela GQ de forma tempestiva.</t>
  </si>
  <si>
    <t>17.2.8 h</t>
  </si>
  <si>
    <t>Considera o envolvimento de outro TC ou organismo adequado para fazer uma avaliação independente do sistema global de controle de qualidade (revisão por pares, por exemplo).</t>
  </si>
  <si>
    <t>17.2.9 i</t>
  </si>
  <si>
    <t>Evidencia que a área técnica responsável levou em consideração as recomendações da GQ nas auditorias subsequentes.</t>
  </si>
  <si>
    <t>FUNDAMENTOS DA AUDITORIA DE CONFORMIDADE</t>
  </si>
  <si>
    <t>18.1</t>
  </si>
  <si>
    <t>Normas e orientações da auditoria de conformidade</t>
  </si>
  <si>
    <t>18.1.1 a</t>
  </si>
  <si>
    <t>O TC formulou normas de auditoria compatíveis com a ISSAI 400 ou adotou as Diretrizes da Auditoria de Conformidade (Compliance Audit Guidelines) (ISSAI 4100 ou 4200) como suas normas oficiais. ISSAI 400:5. As normas devem abranger pelo menos doze das seguintes exigências (a adoção de normas compatíveis com a ISSAI 400 satisfaz todos os requisitos abaixo):</t>
  </si>
  <si>
    <t>Pontuação = 4: todos os critérios são cumpridos, inclusive os itens de cada um deles 
Pontuação = 3: todos os critérios são cumpridos
 Pontuação = 2: pelo menos o critério (a) e sete itens do critério (b) são cumpridos 
Pontuação = 1: pelo menos o critério (a) ou (c) é cumprido
 Pontuação = 0: nem o critério (a) nem o (c) são cumpridos</t>
  </si>
  <si>
    <t xml:space="preserve"> I.       Identificar os elementos relevantes para a auditoria antes da sua execução.</t>
  </si>
  <si>
    <t xml:space="preserve">II.       Considerar o risco da auditoria ao longo do processo de auditoria. </t>
  </si>
  <si>
    <t xml:space="preserve">III.       Levar em consideração a materialidade ao longo do processo de auditoria.  </t>
  </si>
  <si>
    <t xml:space="preserve">IV.       Elaborar suficiente documentação (papeis de trabalho) de auditoria. </t>
  </si>
  <si>
    <t xml:space="preserve">V.       Estabelecer boa comunicação ao longo do processo de auditoria. </t>
  </si>
  <si>
    <t>VI.       Identificar o objeto e  os critérios adequados.</t>
  </si>
  <si>
    <t xml:space="preserve">VII.       Definir o escopo da auditoria.  </t>
  </si>
  <si>
    <t xml:space="preserve">VIII.   Entender a entidade auditada à luz dos normativos que a regem.  </t>
  </si>
  <si>
    <t>IX.   Entender o ambiente de controle e os controles internos pertinentes.</t>
  </si>
  <si>
    <t xml:space="preserve">X.   Fazer uma avaliação de riscos.  </t>
  </si>
  <si>
    <t>XI.   Considerar o risco de fraude.</t>
  </si>
  <si>
    <t xml:space="preserve">XII.   Planejar a auditoria formulando uma estratégia e um plano de auditoria. </t>
  </si>
  <si>
    <t xml:space="preserve">XIII.   Coletar evidências de auditoria suficientes e apropriadas para cobrir o escopo da auditoria. </t>
  </si>
  <si>
    <t xml:space="preserve">XIV.   Avaliar se foram obtidas evidências de auditoria, suficientes e apropriadas que formam conclusões relevantes. </t>
  </si>
  <si>
    <t xml:space="preserve">XV.   Elaborar um relatório por escrito baseado nos princípios da completude, objetividade, tempestividade e de um processo contraditório. </t>
  </si>
  <si>
    <t>18.1.2 b</t>
  </si>
  <si>
    <t>O Tribunal adotou políticas e procedimentos que descrevem como implementar as normas de auditoria.</t>
  </si>
  <si>
    <t>18.1.3 c</t>
  </si>
  <si>
    <t>O Tribunal presta apoio aos seus auditores, disponibilizando, por exemplo, material de orientação, capacitação, acesso a peritos, em todos os itens seguintes, que possibite:</t>
  </si>
  <si>
    <t>I. Identificar critérios auditoriais formais (leis, regulamentos etc) e não formais (princípios gerais de gestão, conduta das autoridades);</t>
  </si>
  <si>
    <t xml:space="preserve">II. Determinar a natureza, período e extensão dos procedimentos de auditoria a serem executados à luz dos critérios, do escopo e das características da entidade auditada. </t>
  </si>
  <si>
    <t xml:space="preserve">III. Entender o ambiente de controle e os controles internos pertinentes das entidades auditadas, para avaliar o risco de que os controles internos não consigam evitar ou detectar casos relevantes de descumprimento. </t>
  </si>
  <si>
    <t xml:space="preserve">IV. Considerar três diferentes dimensões do risco de auditoria: risco inerente (possibilidade de o erro ocorrer em face da não existência de controle), risco de controle (possibilidade de o erro ocorrer, mas não ser detectado pelos controles existentes, em face das limitações desses controles) e risco de detecção (possibilidade do erro ocorrer, mas não ser detectado pelo auditores). </t>
  </si>
  <si>
    <t xml:space="preserve">V. Incluir fatores do risco de fraude nas suas avaliações de riscos e se o auditor encontrar casos de descumprimento que possam indicar fraude tenham condições de exercer a devida diligência profissional a fim de não interferir em possíveis processos judiciais no futuro. </t>
  </si>
  <si>
    <t xml:space="preserve">VI. Elaborar achados e conclusões de auditoria baseados em evidências suficientes e apropriadas para proporcionar a base para a conclusão ou parecer. </t>
  </si>
  <si>
    <t xml:space="preserve">VII. Elaborar relatório por escrito em formato apropriado, de modo que o relatório seja completo, preciso, objetivo, claro e conciso. </t>
  </si>
  <si>
    <t>VIII. Formular estratégia e plano de auditoria.</t>
  </si>
  <si>
    <t>18.2</t>
  </si>
  <si>
    <t>Ética e independência na auditoria de conformidade</t>
  </si>
  <si>
    <t>18.2.1 a</t>
  </si>
  <si>
    <t>Possui normativos que assegurem que os auditores só atuem junto a jurisdicionados com os quais não tenham nenhum tipo de relação ou interesse pessoal</t>
  </si>
  <si>
    <t>18.2.2 b</t>
  </si>
  <si>
    <t>Assegura que os auditores não realizem trabalhos por mais de cinco anos na mesma entidade auditada.</t>
  </si>
  <si>
    <t>18.2.3 c</t>
  </si>
  <si>
    <t>Adota código de ética para servidores, que inclua a exigência de independência, sigilo e ética profissional para os auditores.</t>
  </si>
  <si>
    <t>18.2.4 d</t>
  </si>
  <si>
    <t>Assegura que os auditores reúnam as competências/conhecimentos necessários para a realização dos trabalhos para os quais foram designados.</t>
  </si>
  <si>
    <t>18.3</t>
  </si>
  <si>
    <t>Controle de qualidade na auditoria de conformidade</t>
  </si>
  <si>
    <t>18.3.1 a</t>
  </si>
  <si>
    <t xml:space="preserve">Todos os trabalhos auditoriais são objeto de avaliação, abrangendo análise do plano de auditoria, dos papeis de trabalho (documentação) e do trabalho da equipe. </t>
  </si>
  <si>
    <t>Pontuação = 4: Todos os critérios são cumpridos.
Pontuação = 3: Pelo menos cinco dos critérios são cumpridos.
Pontuação = 2: Pelo menos três dos critérios são cumpridos.
Pontuação = 1: Pelo menos um dos critérios é cumprido.
Pontuação = 0: Nenhum dos critérios é cumprido.</t>
  </si>
  <si>
    <t>18.3.2 b</t>
  </si>
  <si>
    <t>O auditor adota procedimentos de controle de qualidade durante a auditoria, destinados a assegurar que a auditoria siga as normas pertinentes.</t>
  </si>
  <si>
    <t>18.3.3 c</t>
  </si>
  <si>
    <t xml:space="preserve">Sempre que surgirem questões difíceis ou controversas, as TCs devem assegurar que sejam utilizados os recursos apropriados (como peritos técnicos) para tratá-las. </t>
  </si>
  <si>
    <t>18.3.4 d</t>
  </si>
  <si>
    <t>Todas as diferenças de opinião dentro do TC são documentadas claramente.</t>
  </si>
  <si>
    <t>18.3.5 e</t>
  </si>
  <si>
    <t>Todas as inconsistências identificadas pelo controle de qualidade devem ser satisfatoriamente solucionadas antes da emissão do relatório.</t>
  </si>
  <si>
    <t>18.3.6 f</t>
  </si>
  <si>
    <t>Existem procedimentos estabelecidos para autorizar a emissão dos relatórios após a devida verificação da sua qualidade. ISSAI 40: p. 12</t>
  </si>
  <si>
    <t>18.4</t>
  </si>
  <si>
    <t>Gestão e qualificação da equipe de auditoria de conformidade</t>
  </si>
  <si>
    <t>18.4.1 a</t>
  </si>
  <si>
    <t>Entendimento e experiência prática com relação ao tipo de auditoria a ser executada.</t>
  </si>
  <si>
    <t>18.4.2 b</t>
  </si>
  <si>
    <t>Entendimento das normas e preceitos pertinentes.</t>
  </si>
  <si>
    <t>18.4.3 c</t>
  </si>
  <si>
    <t>Entendimento das operações da entidade auditada.</t>
  </si>
  <si>
    <t>18.4.4 d</t>
  </si>
  <si>
    <t xml:space="preserve">Capacidade e experiência para o exercício de um julgamento profissional. </t>
  </si>
  <si>
    <t xml:space="preserve"> PROCESSO DE AUDITORIA DE CONFORMIDADE</t>
  </si>
  <si>
    <t>19.1</t>
  </si>
  <si>
    <t>Planejamento de auditorias de conformidade</t>
  </si>
  <si>
    <t>19.1.1 a</t>
  </si>
  <si>
    <t>Entender a entidade auditada à luz dos normativos que a regem.</t>
  </si>
  <si>
    <t>Pontuação = 4: todos os critérios são cumpridos 
Pontuação = 3: os critérios (e), (g), (h) e pelo menos quatro dos demais critérios são cumpridos 
Pontuação = 2: cinco dos critérios são cumpridos 
Pontuação = 1: três dos critérios são cumpridos 
Pontuação = 0: nenhum dos critérios é cumprido</t>
  </si>
  <si>
    <t>19.1.2 b</t>
  </si>
  <si>
    <t xml:space="preserve">Definir o escopo da auditoria. </t>
  </si>
  <si>
    <t>19.1.3 c</t>
  </si>
  <si>
    <t xml:space="preserve">Identificar o objeto e critérios adequados. </t>
  </si>
  <si>
    <t>19.1.4 d</t>
  </si>
  <si>
    <t xml:space="preserve">Entender o ambiente de controle e os controles internos pertinentes ao objeto da auditoria. </t>
  </si>
  <si>
    <t>19.1.5 e</t>
  </si>
  <si>
    <t xml:space="preserve">Considerar o risco de auditoria (inerente, de controle e de detecção) ao longo do processo. </t>
  </si>
  <si>
    <t>19.1.6 f</t>
  </si>
  <si>
    <t xml:space="preserve">Considerar o risco de fraude. </t>
  </si>
  <si>
    <t>19.1.7 g</t>
  </si>
  <si>
    <t xml:space="preserve">Levar em consideração a materialidade ao longo do processo de auditoria. </t>
  </si>
  <si>
    <t>19.1.8 h</t>
  </si>
  <si>
    <t xml:space="preserve">Elaborar documentação (papeis de trabalho) de auditoria suficiente. </t>
  </si>
  <si>
    <t>19.1.9 i</t>
  </si>
  <si>
    <t xml:space="preserve">Estabelecer uma boa comunicação ao longo do processo de auditoria. </t>
  </si>
  <si>
    <t>19.2</t>
  </si>
  <si>
    <t>Execução de auditoria de conformidade</t>
  </si>
  <si>
    <t>19.2.1 a</t>
  </si>
  <si>
    <t>Todos os procedimentos auditoriais planejados são executados ou, nos casos em que alguns não sejam, a devida explicação consta da documentação da auditoria e foi aprovada pelo supervisor dos trabalhos.</t>
  </si>
  <si>
    <t>Pontuação = 4: Todos os critérios são cumpridos.
Pontuação = 3: Pelo menos tres dos critérios são cumpridos.
Pontuação = 2: Pelo menos dois dos critérios são cumpridos.
Pontuação = 1: Pelo menos um dos critérios é cumprido.
Pontuação = 0: Nenhum dos critérios é cumprido.</t>
  </si>
  <si>
    <t>19.2.2 b</t>
  </si>
  <si>
    <t xml:space="preserve">Todos os achados de auditorias são suportados por evidências suficientes e apropriadas. </t>
  </si>
  <si>
    <t>19.2.3 c</t>
  </si>
  <si>
    <t>Os casos de descumprimento que possam indicar fraude são comunicados imediatamente ao superior hierárquico, de forma que sejam tomadas as providencias cabíveis e tempestivas no âmbito do TC.</t>
  </si>
  <si>
    <t>19.2.4 d</t>
  </si>
  <si>
    <t xml:space="preserve">No caso da auditoria utilizar perito externo é feita avaliação se este tem competência e capacidade necessárias à execução dos trabalhos. </t>
  </si>
  <si>
    <t>19.3</t>
  </si>
  <si>
    <t>Avaliação das evidências de auditoria, conclusão e relatório de auditoria de conformidade</t>
  </si>
  <si>
    <t>19.3.1 a</t>
  </si>
  <si>
    <t>“A documentação deve ser suficientemente detalhada para permitir que um auditor experiente, sem nenhum contato prévio com a auditoria, entenda, com base na documentação de auditoria, os seguintes aspectos: 
I. a relação entre o objeto, os critérios, o escopo da auditoria, a avaliação de riscos, a estratégia e o plano de auditoria, e a natureza, período e extensão dos resultados dos procedimentos executados; 
II. As evidências de auditoria obtidas para respaldar a conclusão, parecer ou relatório do auditor; 
III. A linha de raciocínio sobre todos os assuntos significativos que exigiram o exercício do discernimento profissional, além das respectivas conclusões.</t>
  </si>
  <si>
    <t>Pontuação = 4: Todos os critérios são cumpridos.
Pontuação = 3: Pelo menos seis dos critérios são cumpridos.
Pontuação = 2: Pelo menos quatro dos critérios são cumpridos.
Pontuação = 1: Pelo menos dois dos critérios são cumpridos.
Pontuação = 0: Menos de dois dos critérios são cumpridos.</t>
  </si>
  <si>
    <t>19.3.2 b</t>
  </si>
  <si>
    <t>A documentação de auditoria é elaborada antes da emissão do relatório.</t>
  </si>
  <si>
    <t>19.3.3 c</t>
  </si>
  <si>
    <t>O Tribunal estabelece prazo (mínimo de cinco anos) para que a documentação de auditoria seja mantida sob sua guarda.</t>
  </si>
  <si>
    <t>19.3.4 d</t>
  </si>
  <si>
    <t>Os achados de auditoria são submetidos a comentários do gestor.</t>
  </si>
  <si>
    <t>19.3.5 e</t>
  </si>
  <si>
    <t xml:space="preserve">O relatório deve ser de fácil compreensão e estar livre de imprecisões e ambiguidades; ser completo, abranger apenas informações que tenham respaldo em evidências de auditoria suficientes e apropriadas; assegurar que os achados sejam contextualizados, objetivos e justos. </t>
  </si>
  <si>
    <t>19.3.6 f</t>
  </si>
  <si>
    <t xml:space="preserve">Os relatórios de auditoria são tempestivos e baseados nos princípios da completude, objetividade e tempestividade. </t>
  </si>
  <si>
    <t>19.3.7 g</t>
  </si>
  <si>
    <t xml:space="preserve">O relatório da auditoria de conformidade propriamente dito apresenta os seguintes elementos:
I. Título
II. Destinatário
III. Escopo da auditoria, inclusive o período abrangido
IV. Identificação ou descrição do objeto
V. Critérios identificados
VI. Identificação das normas de auditoria aplicadas na execução do trabalho
VII. Um resumo do trabalho executado
VIII. Achados
IX. Uma conclusão/um parecer
X. As respostas da entidade auditada (conforme o caso)
XI. Recomendações (conforme o caso)
XII. Data do relatório
XIII. “Assinatura” </t>
  </si>
  <si>
    <t>19.3.8 h</t>
  </si>
  <si>
    <t>Todas as determinações e recomendações de auditoria são escritas de forma clara e concisa e são dirigidas aos responsáveis pelo seu cumprimento.</t>
  </si>
  <si>
    <t>FUNDAMENTOS DA AUDITORIA OPERACIONAL</t>
  </si>
  <si>
    <t>GEAP</t>
  </si>
  <si>
    <t>20.1</t>
  </si>
  <si>
    <t>Normas e orientações da auditoria de operacional</t>
  </si>
  <si>
    <t xml:space="preserve">20.1.1 </t>
  </si>
  <si>
    <t>Formulou/adotou normas de auditoria compatíveis com a ISSAI 300, levando em consideração as Performance Audit Guidelines [Diretrizes da Auditoria Operacional] da INTOSAI, ou adotou essas Diretrizes como suas normas oficiais para o seu trabalho, por exemplo, cumprindo os seguintes subcritérios:</t>
  </si>
  <si>
    <t>Pontuação = 4: Todos os critérios são cumpridos, inclusive todos os subcritérios listados.
Pontuação = 3: Todos os critérios são cumpridos, com todos os subcritérios listados sendo cumpridos em pelo menos um deles.
Pontuação = 2: Pelo menos dois dos critérios são cumpridos, com todos os subcritérios listados sendo cumpridos em pelo menos um deles.
Pontuação = 1: Pelo menos um dos critérios é cumprido, mas talvez nem todos os subcritérios sejam cumpridos.
Pontuação = 0: Nenhum dos critérios é cumprido.</t>
  </si>
  <si>
    <t>a</t>
  </si>
  <si>
    <t xml:space="preserve">Princípios gerais </t>
  </si>
  <si>
    <t>b</t>
  </si>
  <si>
    <t xml:space="preserve">Planejamento  </t>
  </si>
  <si>
    <t>c</t>
  </si>
  <si>
    <t xml:space="preserve">Execução e elaboração de relatórios de auditorias operacionais  </t>
  </si>
  <si>
    <t>d</t>
  </si>
  <si>
    <t xml:space="preserve">Elaboração de Relatórios </t>
  </si>
  <si>
    <t xml:space="preserve">20.1.2 </t>
  </si>
  <si>
    <t>Formulou e divulgou junto aos auditores normas adotadas ou princípios gerais da auditoria operacional. Estas políticas ou princípios dispõem sobre:</t>
  </si>
  <si>
    <t>Organização e os processos de trabalho</t>
  </si>
  <si>
    <t xml:space="preserve">Seleção dos tópicos de auditoria </t>
  </si>
  <si>
    <t xml:space="preserve">Sistema de controle de qualidade </t>
  </si>
  <si>
    <t xml:space="preserve">20.1.3 </t>
  </si>
  <si>
    <t>Oferece apoio aos auditores na implementação das normas de auditoria adotadas e das exigências éticas, e no desenvolvimento das suas qualificações profissionais, por exemplo, cumprindo os seguintes subcritérios:</t>
  </si>
  <si>
    <t>Materiais de orientação</t>
  </si>
  <si>
    <t>Promoção do desenvolvimento profissional no trabalho diário,</t>
  </si>
  <si>
    <t>Acesso a peritos quando necessário,</t>
  </si>
  <si>
    <t>Intercâmbio de experiências profissionais com outros auditores operacionais,</t>
  </si>
  <si>
    <t>e</t>
  </si>
  <si>
    <t>Acesso a capacitação interna e externa</t>
  </si>
  <si>
    <t>f</t>
  </si>
  <si>
    <t xml:space="preserve">Possibilidade de cursos acadêmicos </t>
  </si>
  <si>
    <t>20.2</t>
  </si>
  <si>
    <t xml:space="preserve">Ética e independência na auditoria operacional </t>
  </si>
  <si>
    <t>20.2.1 a</t>
  </si>
  <si>
    <t>20.2.2 b</t>
  </si>
  <si>
    <t>Possui normativos que assegurem que os auditores só atuem junto a jurisdicionados com os quais não tenham nenhum tipo de relação ou interesse pessoal.</t>
  </si>
  <si>
    <t>20.2.3 c</t>
  </si>
  <si>
    <t>20.2.4 d</t>
  </si>
  <si>
    <t>20.3</t>
  </si>
  <si>
    <t xml:space="preserve">Controle de qualidade na auditoria operacional </t>
  </si>
  <si>
    <t>20.3.1 a</t>
  </si>
  <si>
    <t xml:space="preserve">Todas as auditorias são avaliadas, abrangendo uma análise do plano de auditoria, dos papeis de trabalho (documentação) e do trabalho da equipe. </t>
  </si>
  <si>
    <t>Pontuação = 4: Todos os critérios são cumpridos.
Pontuação = 3: Pelo menos quatro dos critérios são cumpridos.
Pontuação = 2: Pelo menos dois dos critérios são cumpridos.
Pontuação = 1: Pelo menos um dos critérios é cumprido.
Pontuação = 0: Nenhum dos critérios é cumprido.</t>
  </si>
  <si>
    <t>20.3.2 b</t>
  </si>
  <si>
    <t>20.3.3 c</t>
  </si>
  <si>
    <t xml:space="preserve">Sempre que surgirem questões difíceis ou controversas, o Tribunal assegura que sejam utilizados os recursos apropriados (como peritos técnicos) para tratá-las. </t>
  </si>
  <si>
    <t>20.3.4 d</t>
  </si>
  <si>
    <t>Todas as diferenças de opinião dentro do Tribunal são documentadas claramente.</t>
  </si>
  <si>
    <t>20.3.5 e</t>
  </si>
  <si>
    <t xml:space="preserve">Existem procedimentos estabelecidos para autorizar a emissão dos relatórios após a devida verificação da sua qualidade. </t>
  </si>
  <si>
    <t>20.4</t>
  </si>
  <si>
    <t>Gestão e qualificações da equipe de auditoria operacional</t>
  </si>
  <si>
    <t>20.4.1 a</t>
  </si>
  <si>
    <t>Assegurado, pelo Tribunal, que eventuais envolvimentos com outros trabalhos não comprometam a execução das auditorias operacionais.</t>
  </si>
  <si>
    <t>Pontuação = 4: Todos os critérios são cumpridos.
Pontuação = 3: Pelo menos quatro dos critérios são cumpridos.
Pontuação = 2: Pelo menos dois dos critérios são cumpridos.
Pontuação = 1: Pelo menos um dos critérios  é cumprido.
Pontuação = 0: Nenhum dos critérios é cumprido.</t>
  </si>
  <si>
    <t>20.4.2 b</t>
  </si>
  <si>
    <t>Conhecimentos de auditoria operacional.</t>
  </si>
  <si>
    <t>20.4.3 c</t>
  </si>
  <si>
    <t>Conhecimentos de métodos de pesquisas, métodos aplicados nas ciências sociais, métodos de investigação e avaliação.</t>
  </si>
  <si>
    <t>20.4.4 d</t>
  </si>
  <si>
    <t xml:space="preserve">Competências pessoais, como as habilidades de comunicação e escrita, capacidade analítica, integridade, criatividade e receptividade. </t>
  </si>
  <si>
    <t>20.4.5 e</t>
  </si>
  <si>
    <t xml:space="preserve">Desenvolvimento profissional contínuo. </t>
  </si>
  <si>
    <t>PROCESSO DE AUDITORIA OPERACIONAL</t>
  </si>
  <si>
    <t>21.1</t>
  </si>
  <si>
    <t>Planejamento de auditorias operacionais</t>
  </si>
  <si>
    <t>21.1.1 a</t>
  </si>
  <si>
    <t xml:space="preserve">Adquire conhecimentos antes da auditoria para assegurar um projeto de auditoria apropriado (de forma flexível para ampliar os conhecimentos), por exemplo, cumprindo os seguintes subcritérios: I. os planos contêm as informações necessárias para compreender a entidade auditada, II. avaliação dos problemas e os riscos, III. identificação das possíveis fontes de evidências, IV auditabilidade, V. materialidade da área auditada. </t>
  </si>
  <si>
    <t>Pontuação = 4: Todos os critérios são cumpridos, inclusive todos os subcritérios listados.
Pontuação = 3: Todos os critérios são cumpridos, com todos os subcritérios listados sendo cumpridos em pelo menos três deles.
Pontuação = 2: Pelo menos cinco dos critérios são cumpridos, com todos os subcritérios listados sendo cumpridos em pelo menos dois deles.
Pontuação = 1: Pelo menos quatro dos critérios são cumpridos, mas talvez nem todos os subcritérios sejam cumpridos.
Pontuação = 0: Três ou menos critérios são cumpridos.</t>
  </si>
  <si>
    <t>21.1.2 b</t>
  </si>
  <si>
    <t xml:space="preserve">Enfoca questões auditáveis importantes com relação aos princípios da economia, eficiência e eficácia das iniciativas governamentais. </t>
  </si>
  <si>
    <t>21.1.3 c</t>
  </si>
  <si>
    <t xml:space="preserve">Tem objetivo de auditoria/questão geral clara, por exemplo, cumprindo os seguintes subcritérios: I. As auditorias referem-se a iniciativas governamentais identificáveis; II. Objetivos usados para levantar questões e subquestões exaustivas e relacionadas por temas, III. Adoção de critérios, escopo, período e metodologia, incluindo técnicas para a coleta de evidências suficientes e apropriadas para fazer análises, responder às questões da auditoria e cumprir o objetivo da auditoria. </t>
  </si>
  <si>
    <t>21.1.4 d</t>
  </si>
  <si>
    <t xml:space="preserve">Possui critérios de auditoria gerais ou específicos: I. Pertinentes ao objetivo da auditoria; II. Fontes objetivas, razoáveis, alcançáveis e identificáveis; III. Que reflitam as leis, regulamentos, objetivos, conhecimentos científicos, princípios sólidos, melhores práticas ou o que poderia proporcionar melhores condições. </t>
  </si>
  <si>
    <t>21.1.5 e</t>
  </si>
  <si>
    <t xml:space="preserve">Elabora plano geral de atividades, por exemplo, cumprindo os seguintes subcritérios: cronogramas dos principais projetos e pontos de controle, requisitos da equipe (competência, conhecimento da área e independência dos funcionários; necessidade de peritos), um plano de comunicação (conteúdo, processo, destinatário) com a entidade auditada e as partes interessadas pertinentes, e consideração dos riscos de auditoria. </t>
  </si>
  <si>
    <t>21.1.6 f</t>
  </si>
  <si>
    <t>Submete o plano de auditoria a aprovação da instância superior.</t>
  </si>
  <si>
    <t>21.2</t>
  </si>
  <si>
    <t>Implementação de auditorias operacionais</t>
  </si>
  <si>
    <t>21.2.1 a</t>
  </si>
  <si>
    <t xml:space="preserve">Informa as entidades auditadas em relação aos “principais aspectos da auditoria,  cumprindo,por exemplo, os seguintes subcritérios: inclusão do objetivo da auditoria, questões, critérios e escopo da auditoria” e discussão dos critérios com as entidades auditadas. </t>
  </si>
  <si>
    <t>Pontuação = 4: todos os critérios são cumpridos.
Pontuação = 3: cinco dos critérios são cumpridos.
 Pontuação = 2: três dos critérios são cumpridos.
 Pontuação = 1: um dos critérios é cumprido.
 Pontuação = 0: nenhum dos critérios é cumprido.</t>
  </si>
  <si>
    <t>21.2.2 b</t>
  </si>
  <si>
    <t>Estabelece boa comunicação com as entidades auditadas e partes interessadas durante todo o processo de auditoria.</t>
  </si>
  <si>
    <t>21.2.3 c</t>
  </si>
  <si>
    <t>Coleta, combina e analisa dados de diversas fontes para definir os critérios de auditoria, quando necessário.</t>
  </si>
  <si>
    <t>21.2.4 d</t>
  </si>
  <si>
    <t xml:space="preserve">Coleta evidências de auditoria e avaliá-las de maneira objetiva, justa e equilibrada, por exemplo, cumprindo os seguintes subcritérios: contextualizar as evidências, considerar todos os argumentos e perspectivas pertinentes e assegurar que as evidências sejam suficientes (em termos de quantidade) para convencer uma pessoa experiente de que os achados são razoáveis, e adequados (em termos de qualidade), ou seja, pertinentes, válidos e confiáveis para responder às questões de auditoria e respaldar as conclusões dos auditores. </t>
  </si>
  <si>
    <t>21.2.5 e</t>
  </si>
  <si>
    <t xml:space="preserve">Elabora documentação de auditoria (papeis de trabalho) completa e suficientemente detalhada, a fim de permitir a um auditor experiente determinar que trabalho foi realizado para chegar aos achados, conclusões e recomendações da auditoria. </t>
  </si>
  <si>
    <t>21.2.6 f</t>
  </si>
  <si>
    <t>Executa tempestivamente a auditoria em linha com o plano de trabalho, sendo explicadas e documentadas as principais decisões sobre alterações do plano.</t>
  </si>
  <si>
    <t>21.3</t>
  </si>
  <si>
    <t>Relatórios de auditorias operacionais</t>
  </si>
  <si>
    <t>21.3.1 a</t>
  </si>
  <si>
    <t xml:space="preserve">Antes da emissão do relatório, as entidades auditadas (e possivelmente outras partes diretamente afetadas) tiveram a oportunidade de comentar, por exemplo, cumprindo os seguintes subcritérios: comentar sobre os achados, conclusões e recomendações da auditoria; corrigir erros e documentar as modificações feitas ou não na versão preliminar do relatório. </t>
  </si>
  <si>
    <t>Pontuação = 4: Todos os critérios são cumpridos, inclusive todos os subcritérios listados.
Pontuação = 3: Todos os critérios são cumpridos, com todos os subcritérios listados sendo cumpridos em pelo menos quatro deles.
Pontuação = 2: Pelo menos seis dos critérios são cumpridos, com todos os subcritérios listados sendo cumpridos em pelo menos um deles.
Pontuação = 1: Pelo menos um dos critérios são cumpridos, mas talvez nem todos os subcritérios sejam cumpridos.
Pontuação = 0: Nenhum dos critérios é cumprido</t>
  </si>
  <si>
    <t>21.3.1 b</t>
  </si>
  <si>
    <t>O relatório inclui todas as informações necessárias para abordar o objetivo e as questões de auditoria, e é suficientemente detalhado para proporcionar um entendimento do objeto, bem como a concepção da auditoria (objetivo, questões, critérios, metodologia e eventuais limitações dos dados empregados).</t>
  </si>
  <si>
    <t>21.3.2 c</t>
  </si>
  <si>
    <t>Os achados são relevantes e atendem aos seguintes subcritérios:
 i. Baseiam-se em evidências de auditoria suficientes e apropriadas. 
ii. Respondem claramente às questões de auditoria ou explicam por que isso não foi possível.</t>
  </si>
  <si>
    <t>21.3.3 d</t>
  </si>
  <si>
    <t>As recomendações, quando feitas, são construtivas, agregam valor, abordam as causas dos problemas/deficiências (sem assumir a responsabilidade que cabe à administração), estão vinculadas ao objetivo, achados e conclusões da auditoria, convencem o leitor de que provavelmente resultarão em uma melhoria significativa do desempenho e são claras, práticas e dirigidas às entidades responsáveis por adotar as providências necessárias.</t>
  </si>
  <si>
    <t>21.3.4 e</t>
  </si>
  <si>
    <t>O relatório é conclusivo e atende aos seguintes subcritérios: 
i. Apresenta clara relação entre o objetivo da auditoria, critérios, achados, conclusões e recomendações. 
ii. É de fácil leitura, claro e conciso.
 iii. Contém linguagem sem ambiguidades.
 iv. É equilibrado, abordando todos os argumentos pertinentes.</t>
  </si>
  <si>
    <t>RESULTADOS DAS AUDITORIAS DE CONFORMIDADE</t>
  </si>
  <si>
    <t>22.1</t>
  </si>
  <si>
    <t>Abrangência das auditorias</t>
  </si>
  <si>
    <t>22.1.1 a</t>
  </si>
  <si>
    <t>Define sua programação de auditoria, baseada em risco documentado, assegurando que todos os jurisdicionados lidem com a possibilidade de estarem sujeitos a uma auditoria de conformidade, e pelo menos 80% das entidades identificadas na análise de risco foram objeto de auditoria no ano em análise.</t>
  </si>
  <si>
    <t>Pontuação = 4: o critério (a) é cumprido
Pontuação = 3: o critério (b) é cumprido
 Pontuação = 2: o critério (c) é cumprido 
Pontuação = 1: o critério (d) é cumprido 
Pontuação = 0: o critério (e) é cumprido</t>
  </si>
  <si>
    <t>Mudaram os indicadores e a formula</t>
  </si>
  <si>
    <t>22.1.2 b</t>
  </si>
  <si>
    <t>Define sua programação de auditoria, baseada em risco documentado, assegurando que todos os jurisdicionados lidem com a possibilidade de estarem sujeitos a uma auditoria de conformidade, e pelo menos 60% das entidades identificadas na análise de risco foram auditadas no ano em análise.</t>
  </si>
  <si>
    <t>22.1.3 c</t>
  </si>
  <si>
    <t>Assegura que pelo menos 40% das entidades identificadas na análise de risco foram objeto de auditoria no ano em análise.</t>
  </si>
  <si>
    <t>22.1.4 d</t>
  </si>
  <si>
    <t>Assegura que pelo menos 20% das entidades identificadas na análise de risco foram objeto de auditoria no ano em análise.</t>
  </si>
  <si>
    <t>22.1.5 e</t>
  </si>
  <si>
    <t>Realiza, no ano em análise, auditoria em menos de 20% das entidades identificadas na análise de risco foram objeto de auditoria no ano em análise.</t>
  </si>
  <si>
    <t>22.2</t>
  </si>
  <si>
    <t>Apresentação dos resultados</t>
  </si>
  <si>
    <t>22.2.1 a</t>
  </si>
  <si>
    <t>Em pelo menos 80% das auditorias de conformidade, o relatório de auditoria é apreciado pelo Pleno/Câmara dentro do prazo fixado (ou, quando não houver prazo definido, dentro de seis meses após o encerramento do período a que a auditoria se refere).</t>
  </si>
  <si>
    <t>22.2.2 b</t>
  </si>
  <si>
    <t>Em pelo menos 60% das auditorias de conformidade, o relatório de auditoria é apreciado pelo Pleno/Câmara dentro do prazo fixado (ou, quando não houver prazo definido, dentro de nove meses após o encerramento do período a que a auditoria se refere).</t>
  </si>
  <si>
    <t>22.2.3 c</t>
  </si>
  <si>
    <t>Em pelo menos 40% das auditorias de conformidade, o relatório de auditoria é apreciado pelo Pleno/Câmara dentro do prazo fixado (ou, quando não houver prazo definido, dentro de doze meses após o encerramento do período a que a auditoria se refere).</t>
  </si>
  <si>
    <t>22.2.4 d</t>
  </si>
  <si>
    <t>Em pelo menos 20% das auditorias de conformidade, o relatório de auditoria é apreciado pelo Pleno/Câmara dentro do prazo fixado (ou, quando não houver prazo definido, dentro de doze meses após o encerramento do período a que a auditoria se refere).</t>
  </si>
  <si>
    <t>22.2.5 e</t>
  </si>
  <si>
    <t>Em menos de 20% das auditorias de conformidade, o relatório de auditoria é apreciado pelo Pleno/Câmara dentro do prazo fixado (ou, quando não houver prazo definido, dentro de doze meses após o encerramento do período a que a auditoria se refere).</t>
  </si>
  <si>
    <t>22.3</t>
  </si>
  <si>
    <t>Publicação e disseminação dos resultados</t>
  </si>
  <si>
    <t>22.3.1 a</t>
  </si>
  <si>
    <t>Todos os relatórios de auditoria e respectivas defesas são publicados e postos à disposição do público, pelos meios apropriados, dentro de 5 dias após o recebimento da defesa.</t>
  </si>
  <si>
    <t>22.3.2 b</t>
  </si>
  <si>
    <t>Todos os relatórios de auditoria e respectivas defesas são publicados e postos à disposição do público, pelos meios apropriados, dentro de 15 dias após o recebimento da defesa.</t>
  </si>
  <si>
    <t>22.3.3 c</t>
  </si>
  <si>
    <t>Todos os relatórios de auditoria e respectivas defesas são publicados e postos à disposição do público, pelos meios apropriados, dentro de 30 dias após o recebimento da defesa.</t>
  </si>
  <si>
    <t>22.3.4 d</t>
  </si>
  <si>
    <t>Todos os relatórios de auditoria e respectivas defesas são publicados e postos à disposição do público, pelos meios apropriados, dentro de 45 dias após o recebimento da defesa.</t>
  </si>
  <si>
    <t>22.3.5 e</t>
  </si>
  <si>
    <t>Nem todos os relatórios de auditoria e respectivas defesas são publicados e postos à disposição do público ou são publicados após 45 dias após o recebimento da defesa.</t>
  </si>
  <si>
    <t>22.4</t>
  </si>
  <si>
    <t>Acompanhamento, pelo TC, da implementação das determinações e recomendações</t>
  </si>
  <si>
    <t>22.4.1 a</t>
  </si>
  <si>
    <t>O TC conta com o seu próprio sistema interno de acompanhamento para assegurar que as entidades auditadas sigam devidamente as suas determinações e recomendações</t>
  </si>
  <si>
    <t>Pontuação = 4: Todos os critérios acima são cumpridos.
Pontuação = 3: Pelo menos três dos critérios acima são cumpridos.
Pontuação = 2: Pelo menos dois dos critérios acima são cumpridos.
Pontuação = 1: Pelo menos um dos critérios acima é cumprido.
Pontuação = 0: Nenhum dos critérios acima é cumprido.</t>
  </si>
  <si>
    <t>22.4.2 b</t>
  </si>
  <si>
    <t>Os procedimentos de acompanhamento do TC permitem que a entidade auditada apresente informações sobre as medidas corretivas tomadas ou sobre o(s) motivo(s) por que medidas corretivas não foram tomadas</t>
  </si>
  <si>
    <t>22.4.3 c</t>
  </si>
  <si>
    <t>O TC encaminha os seus relatórios de acompanhamento ao Legislativo, a uma das suas comissões ou ao conselho de administração do auditado, conforme o caso, para consideração e ação</t>
  </si>
  <si>
    <t>22.4.4 d</t>
  </si>
  <si>
    <t>O TC divulga externamente os resultados das suas auditorias e as medidas de acompanhamento tomadas com respeito às suas determinações e recomendações</t>
  </si>
  <si>
    <t>RESULTADO DAS AUDITORIAS OPERACIONAIS</t>
  </si>
  <si>
    <t>23.1</t>
  </si>
  <si>
    <t>Abrangência, seleção e objetivo</t>
  </si>
  <si>
    <t>23.1.1 a</t>
  </si>
  <si>
    <t>Em média, em cada um dos últimos três anos, pelo menos três auditorias operacionais foram relatadas e/ou que 5% dos auditores do TC foram usados em auditorias operacionais.</t>
  </si>
  <si>
    <t>Pontuação = 4: todos os critérios são cumpridos
 Pontuação = 3: três dos critérios são cumpridos 
Pontuação = 2: dois critérios são cumpridos
 Pontuação = 1: um critério é cumprido
 Pontuação = 0: nenhum dos critérios é cumprido</t>
  </si>
  <si>
    <t>23.1.2 b</t>
  </si>
  <si>
    <t>A prática da auditoria tem como foco melhorar o desempenho ao examinar “se o desempenho das intervenções, programas e instituições está em conformidade com os princípios da economia, eficiência e eficácia e se existe espaço para melhorias”. Ao selecionar os tópicos de auditoria, o TC considera: 
I. Que eles sejam significativos (no tocante à sua relevância financeira, social e/ou política).
II. Que eles sejam auditáveis, levando em conta as capacidades de auditoria (por exemplo, recursos humanos e capacidade profissional). 
III. Os impactos esperados da auditoria (melhorando a condução das operações e programas do governo, por exemplo, ao reduzir custos, simplificar a administração, aumentar a qualidade e o volume ou ampliar o impacto ou os benefícios para a sociedade).</t>
  </si>
  <si>
    <t>23.1.3 c</t>
  </si>
  <si>
    <t>O Tribunal identifica os principais grupos de interessados, estabelece comunicação nos dois sentidos com eles e entende as necessidades e expectativas desses grupos em cada auditoria.</t>
  </si>
  <si>
    <t>23.1.4 d</t>
  </si>
  <si>
    <t>Durante os últimos cinco anos, o TC emitiu relatórios abrangendo pelo menos três dos seguintes setores/tópicos:
– Segurança  
– Educação 
– Meio ambiente
– Saúde 
– Infraestrutura
– Previdência social e trabalho
– Desenvolvimento econômico
– Arrecadação de receitas
– Finanças públicas e administração pública</t>
  </si>
  <si>
    <t>23.2</t>
  </si>
  <si>
    <t>Apresentação, publicação e disseminação dos resultados</t>
  </si>
  <si>
    <t>23.2.1 a</t>
  </si>
  <si>
    <t>Aprecia/julga pelo menos 80% das auditorias operacionais em até 30 dias após a conclusão do relatório.</t>
  </si>
  <si>
    <t>Pontuação = 4: todos os critérios são cumpridos
 Pontuação = 3: quatro dos critérios são cumpridos 
Pontuação = 2: dois critérios são cumpridos
 Pontuação = 1: um critério é cumprido
 Pontuação = 0: nenhum dos critérios é cumprido</t>
  </si>
  <si>
    <t>23.2.2 b</t>
  </si>
  <si>
    <t>Encaminha pelo menos 80% dos relatórios de auditorias operacionais aos principais destinatários (a entidade auditada e o Executivo e/ou o Legislativo), em até 5 dias após a apreciação/julgamento.</t>
  </si>
  <si>
    <t>23.2.3 c</t>
  </si>
  <si>
    <t>Disponibiliza os relatórios de auditorias operacionais ao público em geral, diretamente e por meio da mídia, bem como a outras partes interessadas, dentro de 10 dias após a apreciação/julgamento.</t>
  </si>
  <si>
    <t>23.2.4 d</t>
  </si>
  <si>
    <t>Disponibiliza os relatórios em linguagem acessível para o público em geral pelos meios apropriados (por exemplo, resumos, gráficos, apresentações em vídeo, comunicados de imprensa).</t>
  </si>
  <si>
    <t>23.2.5 e</t>
  </si>
  <si>
    <t>Estimula o interesse do público e do meio acadêmico em relação às suas mais importantes conclusões sobre desempenho.</t>
  </si>
  <si>
    <t>23.3</t>
  </si>
  <si>
    <t>Acompanhamento da implementação das determinações e recomendações</t>
  </si>
  <si>
    <t>23.3.1 a</t>
  </si>
  <si>
    <t>Monitora periodicamente a implementação das recomendações/determinações a fim de verificar se a entidade auditada sanou as desconformidades no prazo concedido.</t>
  </si>
  <si>
    <t>Pontuação = 4: todos os critérios são cumpridos Pontuação = 3: três dos critérios são cumpridos Pontuação = 2: dois dos critérios são cumpridos Pontuação = 1: um dos critérios é cumprido Pontuação = 0: nenhum dos critérios é cumprido.</t>
  </si>
  <si>
    <t>23.3.2 b</t>
  </si>
  <si>
    <t>Exige que a entidade auditada apresente informações sobre as medidas corretivas tomadas ou sobre os motivos por que as mesmas não foram tomadas, ISSAI 20:3</t>
  </si>
  <si>
    <t>23.3.3 c</t>
  </si>
  <si>
    <t>Registra o resultado do acompanhamento de suas determinações e recomendações em relatório específico.</t>
  </si>
  <si>
    <t>23.3.4 d</t>
  </si>
  <si>
    <t>Usa informações do acompanhamento para analisar o valor agregado gerado pela própria auditoria operacional. ISSAI 300:42</t>
  </si>
  <si>
    <t>QATC 24</t>
  </si>
  <si>
    <t>AUDITORIA FINANCEIRA</t>
  </si>
  <si>
    <t>atende</t>
  </si>
  <si>
    <t>24.1</t>
  </si>
  <si>
    <t>Fundamentos de auditorias financeiras</t>
  </si>
  <si>
    <t>24.1.1 a</t>
  </si>
  <si>
    <t>Formulou ou adotou normas de auditoria baseada na ISSAI 200, Princípios Fundamentais das Auditorias Financeiras, oucompatíveis com elas, ou adotou as Diretrizes da Auditoria Financeira (ISSAI 1000-1810) xom suas normas.</t>
  </si>
  <si>
    <t>Pontuação = 4: todos os critérios são cumpridos          Pontuação = 3: quatro dos critérios são cumpridos Pontuação = 2: dois dos critérios são cumpridos          Pontuação = 1: um dos critérios é cumprido       Pontuação = 0: nenhum dos critérios é cumprido</t>
  </si>
  <si>
    <t>24.1.2 b</t>
  </si>
  <si>
    <t>Adotou políticas e procedimentos sobre a forma como implementar as normas de auditoria</t>
  </si>
  <si>
    <t>24.1.3 c</t>
  </si>
  <si>
    <t>Apoia seus auditores (na forma de, por exemplo, material de orientação, capacitação, acesso a peritos e/ou informações de fontes externas).</t>
  </si>
  <si>
    <t>24.1.4 d</t>
  </si>
  <si>
    <t>Conta com um sistema para assegurar que, no nível do trabalho de auditoria, os seus auditores cumpram exigências éticas, a exemplo de: declarações em relação à ética e independência e  que sejam evitadas relações de longo prazo com a mesma entidade auditada.</t>
  </si>
  <si>
    <t>24.1.5 e</t>
  </si>
  <si>
    <t>Assegura que a equipe de auditoria tenha, coletivamente, a competência e as qualificações apropriadas</t>
  </si>
  <si>
    <t>24.2</t>
  </si>
  <si>
    <t>Processo de auditoria financeira</t>
  </si>
  <si>
    <t>24.2.1 a</t>
  </si>
  <si>
    <t>Assegura que, no planejamento da auditoria, o auditor:                       I. Formula estratégia geral de auditoria abrangendo o escopo e a oportunidade da auditoria, bem como a extensão dos recursos necessários para executar o trabalho.                                             II. Planeja devidamente a auditoria para assegurar que ela inclua a avaliação de riscos, bem como demais procedimentos de auditoria.                                                                                     III. Avalia o ambiente de controle interno como um todo.</t>
  </si>
  <si>
    <t>Pontuação = 4: todos os critérios são cumpridos, inclusive todos os sub critérios          Pontuação = 3: todos os critérios são cumpridos, com pelo menos 2 dos subcritérios sendo cumpridos em cada um deles.                           Pontuação = 2:  todos os critérios são cumpridos, com todos os subcritérios sendo cumpridos em, pelo menos, 1 deles.          Pontuação = 1: um dos critérios é cumprido, mas nem todos so sub critérios são cumpridos       Pontuação = 0: nenhum dos critérios é cumprido</t>
  </si>
  <si>
    <t>24.2.2 b</t>
  </si>
  <si>
    <t>Assegura que, na execução da auditoria, o auditor:                                                                  I. Adota procedimentos de auditoria baseados nos riscos avaliados e se a auditoria responde a esses riscos.                                                                                            II. Coleta evidências de auditoria e as avalia de maneira objetiva, justa e equilibrada, por exemplo, cumprindo os seguintes subcritérios: contextualizar as evidências, considerar todos os argumentos e perspectivas pertinentes e assegurar que as evidências sejam suficientes (em termos de quantidade) para convencer uma pessoa experiente de que os achados são razoáveis, e adequados (em termos de qualidade), ou seja, pertinentes, válidos e confiáveis para responder às questões de auditoria e respaldar as conclusões dos auditores.                                                                                            
 III. Elabora documentação completa e suficientemente detalhada, por exemplo, cumprindo os seguintes subcritérios: a documentação dos planos, procedimentos, evidências (normalmente com referências cruzadas ao relatório) e achados da auditoria, a fim de permitir a um auditor experiente determinar que trabalho foi realizado para chegar aos achados, conclusões e recomendações da auditoria.</t>
  </si>
  <si>
    <t>24.2.3 c</t>
  </si>
  <si>
    <t>O auditor deve formar opinião, com base na avaliação das conclusões tiradas das evidências de auditoria obtidas, que indique se as demonstrações financeiras como um todo foram elaboradas em conformidade com o arcabouço de informações financeiras pertinente.</t>
  </si>
  <si>
    <t>24.3</t>
  </si>
  <si>
    <t>Resultados de auditoria financeira</t>
  </si>
  <si>
    <t>24.3.1 a</t>
  </si>
  <si>
    <t>Realiza auditoria financeira nas contas anuais de governo (federal, estadual e distrital</t>
  </si>
  <si>
    <t>Pontuação = 4: todos os critérios são cumpridos          Pontuação = 3: cinco dos critérios são cumpridos            Pontuação = 2: três dos critérios são cumpridos          Pontuação = 1: um dos critérios é cumprido       Pontuação = 0: nenhum dos critérios é cumprido</t>
  </si>
  <si>
    <t>24.3.2 b</t>
  </si>
  <si>
    <t>Define sua programação de auditoria das contas anuais dos jurisdicionados, baseada em risco documentado, assegurando que todos eles lidem com a possibilidade de estarem sujeitos a auditoria financeira, e, pelo menos, 80% dos entes identificados na análise de risco foram objeto de auditoria no ano em análise</t>
  </si>
  <si>
    <t>24.3.3 c</t>
  </si>
  <si>
    <t xml:space="preserve"> Elabora relatório por escrito baseado nos princípios da completude, objetividade, tempestividade e contraditório.</t>
  </si>
  <si>
    <t>24.3.4 d</t>
  </si>
  <si>
    <t>Aprecia o relatório e/ou parecer de auditoria dentro do prazo fixado por lei ou regulamento</t>
  </si>
  <si>
    <t>24.3.5 e</t>
  </si>
  <si>
    <t xml:space="preserve"> Todos os relatórios e/ou pareceres de auditoria são postos à disposição do público, pelos meios apropriados, no prazo de 15 dias após a apreciação.</t>
  </si>
  <si>
    <t>24.3.6 f</t>
  </si>
  <si>
    <t>Acompanha a implementação das determinações e recomendações das auditorias financeiras</t>
  </si>
  <si>
    <t>AUDITORIAS COM TEMAS ESPECÍFICOS</t>
  </si>
  <si>
    <t>NEG /       GATI</t>
  </si>
  <si>
    <t>25.1</t>
  </si>
  <si>
    <t>Auditoria de obras públicas</t>
  </si>
  <si>
    <t>25.1.1 a</t>
  </si>
  <si>
    <t>Realização, nos últimos 3 anos, de pelo menos 3 auditorias.</t>
  </si>
  <si>
    <t>25.1.2 b</t>
  </si>
  <si>
    <t>Adquirir conhecimentos antes da auditoria para assegurar um projeto de auditoria apropriado, por exemplo, cumprindo os seguintes subcritérios: os planos contêm as informações necessárias para compreender o objeto auditado, avaliar os problemas e os riscos, as possíveis fontes de evidências e a materialidade da área auditada.</t>
  </si>
  <si>
    <t>25.1.3 c</t>
  </si>
  <si>
    <t>Ter critérios de auditoria gerais ou específicos, por exemplo, cumprindo os seguintes subcritérios: critérios de auditoria (possivelmente complementados pela análise das causas dos desvios em relação aos critérios) pertinentes ao objetivo da auditoria; fontes objetivas, razoáveis, alcançáveis e identificáveis; critérios que reflitam as leis, regulamentos, objetivos, conhecimentos científicos, princípios sólidos, melhores práticas ou o que poderia proporcionar melhores condições.</t>
  </si>
  <si>
    <t>25.1.4 d</t>
  </si>
  <si>
    <t>Coletar evidências de auditoria e avaliá-las de maneira objetiva, justa e equilibrada, por exemplo, cumprindo os seguintes subcritérios: contextualizar as evidências, considerar todos os argumentos e perspectivas pertinentes e assegurar que as evidências sejam suficientes (em termos de quantidade) para convencer uma pessoa experiente de que os achados são razoáveis, e adequados (em termos de qualidade), ou seja, pertinentes, válidos e confiáveis para responder às questões de auditoria e respaldar as conclusões dos auditores. ISSAI 100:49; 300:38</t>
  </si>
  <si>
    <t>25.1.5 e</t>
  </si>
  <si>
    <t>Elaborar uma documentação completa e suficientemente detalhada, por exemplo, cumprindo os seguintes subcritérios: a documentação dos planos, procedimentos, evidências (normalmente com referências cruzadas ao relatório) e achados da auditoria, a fim de permitir a um auditor experiente determinar que trabalho foi realizado para chegar aos achados, conclusões e recomendações da auditoria.</t>
  </si>
  <si>
    <t>25.1.6 f</t>
  </si>
  <si>
    <t>Elaborar um relatório por escrito baseado nos princípios da completude, objetividade, tempestividade e de um processo contraditório.</t>
  </si>
  <si>
    <t>25.2</t>
  </si>
  <si>
    <t>Auditoria de Concessões Públicas</t>
  </si>
  <si>
    <t>25.2.1 a</t>
  </si>
  <si>
    <t>Realizou, nos últimos 3 anos, pelo menos, 1 auditoria de concessão pública.</t>
  </si>
  <si>
    <t>25.2.2 b</t>
  </si>
  <si>
    <t>Adquire conhecimentos antes da auditoria para assegurar um projeto de auditoria apropriado, por exemplo, cumprindo os seguintes subcritérios: os planos contêm as informações necessárias para compreender o objeto auditado, avaliar os problemas e os riscos, as possíveis fontes de evidências e a materialidade da área auditada.</t>
  </si>
  <si>
    <t>25.2.3 c</t>
  </si>
  <si>
    <t>Tem normas de auditoria gerais ou específicas, por exemplo, cumprindo os seguintes subcritérios: critérios de auditoria (possivelmente complementados pela análise das causas dos desvios em relação aos critérios) pertinentes ao objetivo da auditoria; fontes objetivas, razoáveis, alcançáveis e identificáveis; critérios que reflitam as leis, regulamentos, objetivos, conhecimentos científicos, princípios sólidos, melhores práticas ou o que poderia proporcionar melhores condições.</t>
  </si>
  <si>
    <t>25.2.4 d</t>
  </si>
  <si>
    <t xml:space="preserve">Coleta evidências de auditoria e avalia de maneira objetiva, justa e equilibrada, por exemplo, cumprindo os seguintes subcritérios: contextualizar as evidências, considerar todos os argumentos e perspectivas pertinentes e assegurar que as evidências sejam suficientes (em termos de quantidade) para convencer uma pessoa experiente de que os achados são razoáveis, e adequados (em termos de qualidade), ou seja, pertinentes, válidos e confiáveis para responder às questões de auditoria e respaldar as conclusões dos auditores. </t>
  </si>
  <si>
    <t>25.2.5 e</t>
  </si>
  <si>
    <t>Elabora uma documentação completa e suficientemente detalhada, por exemplo, cumprindo os seguintes subcritérios: a documentação dos planos, procedimentos, evidências (normalmente com referências cruzadas ao relatório) e achados da auditoria, a fim de permitir a um auditor experiente determinar que trabalho foi realizado para chegar aos achados, conclusões e recomendações da auditoria.</t>
  </si>
  <si>
    <t>25.2.6 f</t>
  </si>
  <si>
    <t>25.3</t>
  </si>
  <si>
    <t>Auditoria de Tecnologia da Informação.</t>
  </si>
  <si>
    <t>25.3.1 a</t>
  </si>
  <si>
    <t>Realizou, nos últimos 3 anos, pelo menos, 3 auditorias de tecnologia da informação.</t>
  </si>
  <si>
    <t>25.3.2 b</t>
  </si>
  <si>
    <t>25.3.3 c</t>
  </si>
  <si>
    <t>25.3.4 d</t>
  </si>
  <si>
    <t xml:space="preserve">Coleta evidências de auditoria e as avalia de maneira objetiva, justa e equilibrada, por exemplo, cumprindo os seguintes subcritérios: contextualizar as evidências, considerar todos os argumentos e perspectivas pertinentes e assegurar que as evidências sejam suficientes (em termos de quantidade) para convencer uma pessoa experiente de que os achados são razoáveis, e adequados (em termos de qualidade), ou seja, pertinentes, válidos e confiáveis para responder às questões de auditoria e respaldar as conclusões dos auditores. </t>
  </si>
  <si>
    <t>25.3.5 e</t>
  </si>
  <si>
    <t>25.3.6 f</t>
  </si>
  <si>
    <t>Elabora um relatório por escrito baseado nos princípios da completude, objetividade, tempestividade e de um processo contraditório.</t>
  </si>
  <si>
    <t>25.4</t>
  </si>
  <si>
    <t>Auditoria de meio ambiente</t>
  </si>
  <si>
    <t>25.4.1 a</t>
  </si>
  <si>
    <t>Realização, nos últimos 3 anos, de pelo menos 1 auditoria.</t>
  </si>
  <si>
    <t>25.4.2 b</t>
  </si>
  <si>
    <t>25.4.3 c</t>
  </si>
  <si>
    <t>Tem normas de auditoria gerais ou específicas,  por exemplo, cumprindo os seguintes subcritérios: critérios de auditoria (possivelmente complementados pela análise das causas dos desvios em relação aos critérios) pertinentes ao objetivo da auditoria; fontes objetivas, razoáveis, alcançáveis e identificáveis; critérios que reflitam as leis, regulamentos, objetivos, conhecimentos científicos, princípios sólidos, melhores práticas ou o que poderia proporcionar melhores condições.</t>
  </si>
  <si>
    <t>25.4.4 d</t>
  </si>
  <si>
    <t>25.4.5 e</t>
  </si>
  <si>
    <t>25.4.6 f</t>
  </si>
  <si>
    <t>DOMÍNIO H: COMUNICAÇÃO E CONTROLE SOCIAL</t>
  </si>
  <si>
    <t>DC/OUVI</t>
  </si>
  <si>
    <t>COMUNICAÇÃO COM A MÍDIA, COM OS CIDADÃOS E COM AS ORGANIZAÇÕES DA DA SOCIEDADE CIVIL</t>
  </si>
  <si>
    <t>DC</t>
  </si>
  <si>
    <t xml:space="preserve">               </t>
  </si>
  <si>
    <t>26.1</t>
  </si>
  <si>
    <t>Comunicação com a mídia</t>
  </si>
  <si>
    <t>26.1.1 a</t>
  </si>
  <si>
    <t>Emite comunicados à imprensa juntamente com os resultados das principais decisões.</t>
  </si>
  <si>
    <t>Pontuação = 4: Todos os critérios são cumpridos.
Pontuação = 3: Quatro critérios são cumpridos.
Pontuação = 2: Dois critérios são cumpridos.
Pontuação = 1: Um critério é cumprido.
Pontuação = 0: Nenhum critério é cumprido.</t>
  </si>
  <si>
    <t>26.1.2 b</t>
  </si>
  <si>
    <t>Usa os meios apropriados para disseminar relatórios de auditoria e resumos desses relatórios.</t>
  </si>
  <si>
    <t>26.1.3 c</t>
  </si>
  <si>
    <t>Faz análise de conteúdo para determinar como ele é descrito pela mídia.</t>
  </si>
  <si>
    <t>26.1.4 d</t>
  </si>
  <si>
    <t>Estabelece um plano de comunicação com a mídia, o qual é acompanhado periodicamente e avaliado por meio da utilização de indicadores de desempenho.</t>
  </si>
  <si>
    <t>26.1.5 e</t>
  </si>
  <si>
    <t>Possui área de comunicação social para contato com a mídia.</t>
  </si>
  <si>
    <t>26.2</t>
  </si>
  <si>
    <t>Comunicação com os cidadãos e as organizações da sociedade civil</t>
  </si>
  <si>
    <t>26.2.1 a</t>
  </si>
  <si>
    <t>Incentiva o acesso dos cidadãos à informação sobre as contas públicas.</t>
  </si>
  <si>
    <t>Pontuação = 4: Todos critérios são cumpridos.
Pontuação = 3: Quatro critérios são cumpridos.
Pontuação = 2: Dois critérios são cumpridos.
Pontuação = 1: Um critério é cumprido.
Pontuação = 0: Nenhum critério é cumprido.</t>
  </si>
  <si>
    <t>26.2.2 b</t>
  </si>
  <si>
    <t>Incentiva os cidadãos a participar do processo de fiscalização oferecendo mecanismos para a apresentação e acompanhamento de denúncias (inclusive por meio de canais on-line, sempre que apropriado).</t>
  </si>
  <si>
    <t>26.2.3 c</t>
  </si>
  <si>
    <t>Faz uso adequado das mídias on-line (página da rede institucional, boletins por email, redes sociais etc)</t>
  </si>
  <si>
    <t>26.2.4 d</t>
  </si>
  <si>
    <t xml:space="preserve">Participa ativamente de debates públicos sobre assuntos pertinentes, como boa governança, GFP e combate à corrupção. </t>
  </si>
  <si>
    <t>26.2.5 e</t>
  </si>
  <si>
    <t>Publica resumos dos seus principais relatórios de auditoria, tanto escritos como em outros formatos, ou valeu-se de outros tipos de comunicação para tornar mais fácil para os cidadãos compreenderem os principais achados de auditoria.</t>
  </si>
  <si>
    <t>26.3</t>
  </si>
  <si>
    <t xml:space="preserve">Estruturação da Área de comunicação social e Política de Comunicação </t>
  </si>
  <si>
    <t>26.3.1 a</t>
  </si>
  <si>
    <t>Possui estrutura física própria</t>
  </si>
  <si>
    <t>Pontuação = 4: dez dos critérios são cumpridos 
Pontuação = 3: oito dos critérios são cumpridos 
Pontuação = 2: seis dos critérios são cumpridos 
Pontuação = 1: três dos critérios são cumpridos 
Pontuação = 0: menos de três critérios são cumpridos</t>
  </si>
  <si>
    <t>26.3.2 b</t>
  </si>
  <si>
    <t>Possui estrutura de pessoal própria</t>
  </si>
  <si>
    <t>26.3.3 c</t>
  </si>
  <si>
    <t>O pessoal da comunicação social recebe capacitação permanente, inclusive sobre assuntos afetos ao controle externo.</t>
  </si>
  <si>
    <t>26.3.4 d</t>
  </si>
  <si>
    <t>Possui suas atribuições definidas em instrumento normativo.</t>
  </si>
  <si>
    <t>26.3.5 e</t>
  </si>
  <si>
    <t>É diretamente subordinada à Presidência do Tribunal de Contas.</t>
  </si>
  <si>
    <t>26.3.6 f</t>
  </si>
  <si>
    <t>É dotada de recursos materiais e tecnológicos adequados.</t>
  </si>
  <si>
    <t>26.3.7 g</t>
  </si>
  <si>
    <t>Tem Política e Plano de Comunicação.</t>
  </si>
  <si>
    <t>26.3.8 h</t>
  </si>
  <si>
    <t>Conta com Comitê para a avaliação permanente da execução do Plano de Comunicação.</t>
  </si>
  <si>
    <t>26.3.9 i</t>
  </si>
  <si>
    <t>Prioriza, na produção de conteúdo, as deliberações e as atividades de fiscalização que importem em impacto social ou necessidade de dar conhecimento à sociedade.</t>
  </si>
  <si>
    <t>26.3.10 j</t>
  </si>
  <si>
    <t>Observa, na produção de conteúdo para divulgação, a materialidade, relevância, risco e urgência das deliberações e das ações de fiscalização.</t>
  </si>
  <si>
    <t>26.3.11 k</t>
  </si>
  <si>
    <t>Realiza sondagens periódicas junto aos públicos interno e externo para avaliar a efetividade da divulgação de informações.</t>
  </si>
  <si>
    <t>26.4</t>
  </si>
  <si>
    <t>Divulgação das decisões na página do Tribunal de Contas na Internet</t>
  </si>
  <si>
    <t>26.4.1 a</t>
  </si>
  <si>
    <t>Divulga em sua página ementas ou acórdãos de todas as decisões previstas na Resolução da Atricon 06/2014;</t>
  </si>
  <si>
    <t>Pontuação = 4: Todos os critérios são cumpridos.
Pontuação = 3: Cinco critérios são cumpridos.
Pontuação = 2: Três critérios são cumpridos.
Pontuação = 1: Um critério é cumprido.
Pontuação = 0: Nenhum critério é cumprido.</t>
  </si>
  <si>
    <t>26.4.2 b</t>
  </si>
  <si>
    <t>Adota o Diário Oficial Eletrônico</t>
  </si>
  <si>
    <t>26.4.3 c</t>
  </si>
  <si>
    <t>Instituiu espaço de destaque na página inicial do sítio para inserção das últimas decisões ou criou link, denominado ‘Decisões do TC’, remetendo à totalidade dos julgamentos;</t>
  </si>
  <si>
    <t>26.4.4 d</t>
  </si>
  <si>
    <t>Incluiu, nas publicações das ementas ou acórdãos no site, links para os respectivos processos, contendo, no mínimo, o voto condutor da decisão, o parecer ministerial e o relatório técnico;</t>
  </si>
  <si>
    <t>26.4.5 e</t>
  </si>
  <si>
    <t>Criou na página do Tribunal link de destaque para acesso às pautas de julgamento do Pleno e Câmaras.</t>
  </si>
  <si>
    <t>26.4.6 f</t>
  </si>
  <si>
    <t>Possui mecanismos de aferição da divulgação das suas decisões na página da Internet.</t>
  </si>
  <si>
    <t>26.4.7 g</t>
  </si>
  <si>
    <t>Transmite ao vivo as sessões pela internet e/ou outros meios de comunicação e disponibiliza os respectivos arquivos em vídeo.</t>
  </si>
  <si>
    <t>QATC-27</t>
  </si>
  <si>
    <t>OUVIDORIA</t>
  </si>
  <si>
    <t>OUVI</t>
  </si>
  <si>
    <t>27.1</t>
  </si>
  <si>
    <t xml:space="preserve"> Estrutura da Ouvidoria</t>
  </si>
  <si>
    <t>27.1.1 a</t>
  </si>
  <si>
    <t>Está na estrutura organizacional, vinculada à Presidência</t>
  </si>
  <si>
    <t>Pontuação = 4: todos os critérios são cumpridos
Pontuação = 3: sete critérios são cumpridos
Pontuação = 2: quatro critérios são cumpridos
Pontuação = 1: dois critérios são cumpridos
Pontuação = 0: menos de dois critérios é cumprido</t>
  </si>
  <si>
    <t>27.1.2 b</t>
  </si>
  <si>
    <t>Tem o Ouvidor designado pelo presidente do Tribunal, após deliberação do Pleno, dentre conselheiros, conselheiros substitutos e servidores efetivos.</t>
  </si>
  <si>
    <t>27.1.3 c</t>
  </si>
  <si>
    <t>Possui suas atribuições definidas em instrumento normativo aprovado pelo Colegiado (atribuições da unidade e não somente do Ouvidor),</t>
  </si>
  <si>
    <t>27.1.4 d</t>
  </si>
  <si>
    <t>Possui estrutura física própria (distinta do Gabinete do Ouvidor), de fácil acesso ao público externo</t>
  </si>
  <si>
    <t xml:space="preserve"> </t>
  </si>
  <si>
    <t>27.1.5 e</t>
  </si>
  <si>
    <t xml:space="preserve">Possui estrutura de pessoal própria, preferencialmente integrada por servidores efetivos </t>
  </si>
  <si>
    <t>27.1.6 f</t>
  </si>
  <si>
    <t>Dispõe de espaço próprio na intranet e na página do Tribunal na internet para atendimento e divulgação de informações e resultados</t>
  </si>
  <si>
    <t>27.1.7 g</t>
  </si>
  <si>
    <t>Contempla, no planejamento estratégico, iniciativas de controle social e transparência, tornando a Ouvidoria efetivo canal de comunicação com a sociedade</t>
  </si>
  <si>
    <t>27.1.8 h</t>
  </si>
  <si>
    <t>Possui plano de ação elaborado pela Ouvidoria a partir dos objetivos estratégicos do Tribunal relacionados ao controle social e à transparência</t>
  </si>
  <si>
    <t>27.1.9 i</t>
  </si>
  <si>
    <t>Possui Matriz de Negócio da Ouvidoria (missão, negócio, pessoas, produtos, insumos, clientes e equipamentos)</t>
  </si>
  <si>
    <t>27.2</t>
  </si>
  <si>
    <t xml:space="preserve"> Atividades da Ouvidoria</t>
  </si>
  <si>
    <t>27.2.1 a</t>
  </si>
  <si>
    <t>Define metas e indicadores de desempenho quanto a prazo de atendimento das demandas</t>
  </si>
  <si>
    <t>Pontuação = 4: todos os critérios são cumpridos
Pontuação = 3: seis critérios são cumpridos
Pontuação = 2: quatro critérios são cumpridos
Pontuação = 1: dois critérios são cumpridos
Pontuação = 0: menos de dois critérios é cumprido</t>
  </si>
  <si>
    <t>27.2.2 b</t>
  </si>
  <si>
    <t>Define metas e indicadores de desempenho quanto a satisfação do usuário</t>
  </si>
  <si>
    <t>27.2.3 c</t>
  </si>
  <si>
    <t>Define metas e indicadores de desempenho quanto a atuação em eventos de estímulo ao controle social e à transparência</t>
  </si>
  <si>
    <t>27.2.4 d</t>
  </si>
  <si>
    <t>Define metas e indicadores de desempenho quanto a quantidade de pessoas capacitadas nos eventos de estímulo ao controle social e transparência</t>
  </si>
  <si>
    <t>27.2.5 e</t>
  </si>
  <si>
    <t>Possui manuais de rotinas internas contendo, no mínimo, conceitos, princípios, canais de comunicação, classificação das demandas quanto à natureza, procedimentos para atendimento com prazo de resposta, procedimentos para elaboração de relatórios estatísticos, procedimentos de elaboração de relatórios analíticos, com proposição de melhorias</t>
  </si>
  <si>
    <t>27.2.6 f</t>
  </si>
  <si>
    <t>Promove sensibilização interna sobre a importância da comunicação e da cultura da transparência</t>
  </si>
  <si>
    <t>27.2.7 g</t>
  </si>
  <si>
    <t>Elabora Carta de Serviços ao Cidadão</t>
  </si>
  <si>
    <t>27.2.8 h</t>
  </si>
  <si>
    <t>Cumpre as determinações da LAI (Lei nº 12.527/2011), ofertando à sociedade informações e dados sobre a gestão do Tribunal em busca da efetivação da transparência e do direito de acesso à informação</t>
  </si>
  <si>
    <t>Resultado Geral</t>
  </si>
  <si>
    <t>RESULTADO DA PESQUISA por INDICADOR</t>
  </si>
  <si>
    <t>DESCRIÇÃO DO INDICADOR</t>
  </si>
  <si>
    <t>RESULTADO 
APURADO</t>
  </si>
  <si>
    <t xml:space="preserve">QATC-2 </t>
  </si>
  <si>
    <t xml:space="preserve">QATC-3 </t>
  </si>
  <si>
    <t>QATC-4</t>
  </si>
  <si>
    <t xml:space="preserve">QATC-5 </t>
  </si>
  <si>
    <t xml:space="preserve">QATC-6 </t>
  </si>
  <si>
    <t>QATC-7</t>
  </si>
  <si>
    <t xml:space="preserve">QATC-9 </t>
  </si>
  <si>
    <t xml:space="preserve">QATC-10 </t>
  </si>
  <si>
    <t xml:space="preserve">QATC-14 </t>
  </si>
  <si>
    <t xml:space="preserve">QATC-15 </t>
  </si>
  <si>
    <t xml:space="preserve">QATC-16 </t>
  </si>
  <si>
    <t xml:space="preserve">QATC-17 </t>
  </si>
  <si>
    <t xml:space="preserve">QATC-18 </t>
  </si>
  <si>
    <t xml:space="preserve">QATC-19 </t>
  </si>
  <si>
    <t xml:space="preserve">QATC-20 </t>
  </si>
  <si>
    <t xml:space="preserve">QATC-22 </t>
  </si>
  <si>
    <t xml:space="preserve">QATC-23 </t>
  </si>
  <si>
    <t>#ERROR!</t>
  </si>
  <si>
    <t>Tribunal de Contas do Estado de Minas Gerais</t>
  </si>
  <si>
    <t xml:space="preserve">Alínea "a" do inciso I, do art. 8º da Lei Complementar n. 102, de 17/01/2008 - Lei Orgânica do Tribunal de Contas do Estado de Minas Gerais (vide pasta de evidências).
Inciso XXIII do art. 90 e alínea "a" do inciso XXIII, do art. 62 da Constituição do Estado de Minas Gerais  (vide pasta de evidências). </t>
  </si>
  <si>
    <t xml:space="preserve">Alínea "b" do inciso I, do art. 8º da Lei Complementar n. 102, de 17/01/2008 - Lei Orgânica do Tribunal de Contas do Estado de Minas Gerais (vide pasta de evidências).
Inciso XXIII do art. 90 e alínea "a" do inciso XXIII, do art. 62 da Constituição do Estado de Minas Gerais  (vide pasta de evidências). </t>
  </si>
  <si>
    <t xml:space="preserve">Alínea "c" do inciso I, do art. 8º da Lei Complementar n. 102, de 17/01/2008 - Lei Orgânica do Tribunal de Contas do Estado de Minas Gerais (vide pasta de evidências).
Art. 78 da Constituição do Estado de Minas Gerais  (vide pasta de evidências). </t>
  </si>
  <si>
    <t>\\china\MMD_QATC\Evidências\Domínio A\Quanto aos Ministros e Conselheiros\Item a</t>
  </si>
  <si>
    <t>\\china\MMD_QATC\Evidências\Domínio A\Quanto aos Ministros e Conselheiros\Item b</t>
  </si>
  <si>
    <t>\\china\MMD_QATC\Evidências\Domínio A\Quanto aos Ministros e Conselheiros\Item c</t>
  </si>
  <si>
    <t>\\china\MMD_QATC\Evidências\Domínio A\Quanto aos Ministros e Conselheiros\Item d</t>
  </si>
  <si>
    <t>Lei Complementar Estadual n.º 102/2008 (Lei Orgânica do Tribunal de Contas do Estado de Minas Gerais), art. 24   e Resolução 12/2008 (Regimento Interno do Tribunal de Contas do Estado de Minas Gerais), art. 49 – link: http://tclegis.tce.mg.gov.br/Home/Detalhe/978636</t>
  </si>
  <si>
    <t>Lei Complementar Estadual n.º 102/2008 (Lei Orgânica do Tribunal de Contas do Estado de Minas Gerais) – art. 27, IV –  e Regimento Interno do Tribunal de Contas do Estado de Minas Gerais – art. 30 e art. 54, IV – link: http://tclegis.tce.mg.gov.br/Home/Detalhe/978636</t>
  </si>
  <si>
    <t>Lei Complementar Estadual n.º 102/2008 (Lei Orgânica) – art. 35 e art. 37 c/c art. 27, IV, e Resolução 12/2008 (Regimento Interno)  – art. 25 e art. 32 c/c art. 30 e art. 54, IV</t>
  </si>
  <si>
    <t xml:space="preserve">Lei Complementar Estadual n.º 102/2008 (Lei Orgânica do Tribunal de Contas do Estado de Minas Gerais) –art. 34 (na LO, os Conselheiros Substitutos são denominados Auditores)
Regimento Interno do Tribunal de Contas do Estado de Minas Gerais – art. 24 e art. 72
</t>
  </si>
  <si>
    <t xml:space="preserve">Lei Complementar Estadual n.º 102/2008 (Lei Orgânica do Tribunal de Contas do Estado de Minas Gerais) – art. 27, IV
Regimento Interno do Tribunal de Contas do Estado de Minas Gerais – art. 54, IV e art. 73
Regimento Interno do Tribunal de Contas do Estado de Minas Gerais – art. 54, IV e art. 73
</t>
  </si>
  <si>
    <t>Constituição Estadual, art. 77, §4º, Capítulo V da Lei Complementar 102/2008 - Lei Orgânica do TCEMG.</t>
  </si>
  <si>
    <t xml:space="preserve">http://www.mpc.mg.gov.br/ </t>
  </si>
  <si>
    <t>http://www.mpc.mg.gov.br/resolucoes/</t>
  </si>
  <si>
    <t>Art. 31 da Lei Complementar 102/2008 - Lei Orgânica do TCEMG.</t>
  </si>
  <si>
    <t>As atribuições estão previstas no art. 17 da Resolução 02/2015. Ver Resolução 02/2015.</t>
  </si>
  <si>
    <t>A APDO está localizada no 6º andar do edíficio sede do TCEMG. Ver relatório de bens patrimoniais da APDO.</t>
  </si>
  <si>
    <t>A APDO compõe-se de equipe própria, contando também com mais duas  equipes vinculadas: o Escritório de Processos e o Escritório de Projetos Estratégicos</t>
  </si>
  <si>
    <t>O processo de planejamento estratégico contou com a participação direta da Alta Administração - Conselheiros, Conselheiros Substitutos, Procuradores do MP e principais gestores da Casa, por meio da realização de  entrevistas sobre o ambiente institucional e a atuação do Tribunal. Além disso, a equipe de formulação foi composta por representantes de toda a instituição.  O Plano foi aprovado em sessão plenária, por meio do Resolução 27/2015. Ver Relação de Entrevistados, Lista de Presença da Equipe de Formulação e Resolução 24/2014, que aprova o Plano Estratégico.</t>
  </si>
  <si>
    <t>Os servidores em geral foram envolvidos no processo de Planejamento por meio de ações de comunicação na intranet, bem como por meio de participação em pesquisa, via questionário eletrônico, sobre as Macrotendências de Controle Externo e ainda por meio da realização do  Seminário sobre as Macrotendências da Gestão dos Recursos Públicos: desafios e perspectivas. Ver notícias sobre a elaboração do novo Plano, questionário utilizado na Pesquisa de Macrotendências e notícia sobre o Seminário realizado.</t>
  </si>
  <si>
    <t>O Plano Estratégico está disponibilizado no Portal do TCEMG, conforme link: http://www.tce.mg.gov.br/planejamento_estrategico/docs/planejamento_estrategico-2015-2019.pdf</t>
  </si>
  <si>
    <t>A atribuição de coordenação do processo de planejamento estratégico no TCEMG está prevista no art. 17 da Resolução 02/2015. Além disso, o Projeto Básico para contração de consultoria para a elaboração do Plano Estratégico define a equipe responsável por cada etapa  de reallização dos trabalhos. Ver Resolução 02/2015 e Projeto Básico, fls. 9 a 12.</t>
  </si>
  <si>
    <t>Ver Relatório de Resultados do Plano Estratégico 2010-2014.</t>
  </si>
  <si>
    <t>O Plano Estratégico engloba o período 2015-2019.</t>
  </si>
  <si>
    <t xml:space="preserve">O Plano de Diretrizes da última gestão, normatizado por meio da Ordem de Serviço 16/2013, que contemplou ações para os exercícios de 2013 e 2014 foi disponibilizado na intranet, coforme link: https://intranet.tce.mg.gov.br/wp-content/uploads/2014/08/PlanoDiretrizes.pdf. Ver também notícia na intranet sobre a divulgação dos resultados de 2013. </t>
  </si>
  <si>
    <t>Os arquivos de acompanhamento de cumprimento de metas estão disponibilizados na intranet. Ver links, que servem de exemplo:  https://intranet.tce.mg.gov.br/wp-content/uploads/2014/10/Metas-Institucionais-2014-Situa%C3%A7%C3%A3o-em-30-11-2014.pdf.</t>
  </si>
  <si>
    <t>http://tclegis.tce.mg.gov.br/Home/Detalhe/1135822</t>
  </si>
  <si>
    <t>https://intranet.tce.mg.gov.br/?p=114880</t>
  </si>
  <si>
    <t xml:space="preserve">http://corregedoria.tce.mg.gov.br/index.php/biblioteca/legislacao/item/24-resolucao-n-14-de-11-de-setembro-de-2013 </t>
  </si>
  <si>
    <t>Exemplos: Atos Presidente 369/2014 e 370/2014, DOC de 14/08/2014;</t>
  </si>
  <si>
    <t>http://mapjuris.tce.mg.gov.br</t>
  </si>
  <si>
    <t>www.tce.mg.gov.br/informativo</t>
  </si>
  <si>
    <t>Toda a jurisprudência do Tribunal está disponível no TCJuris (http://tcjuris.tce.mg.gov.br//).</t>
  </si>
  <si>
    <t>Em andamento minuta de Resolução - Processo SGAP nº 911.931</t>
  </si>
  <si>
    <t>http://corregedoria.tce.mg.gov.br/</t>
  </si>
  <si>
    <t>http://tclegis.tce.mg.gov.br/Home/Detalhe/1136141</t>
  </si>
  <si>
    <t>http://corregedoria.tce.mg.gov.br/index.php/orientacoes</t>
  </si>
  <si>
    <t>Prazos para emissão de Parecer Prévio são controlados, conforme previsão na Lei Orgânica e Regimento Interno do TCEMG</t>
  </si>
  <si>
    <t>Relatório da estrutura de pessoal da DTI (própria e terceiros)</t>
  </si>
  <si>
    <t>Existe o planejamento para formação do comitê, mas no momento aguardando autorização para início do PETI</t>
  </si>
  <si>
    <t>Trata-se de componente previsto no Plano de Segurança da Informação do Tribunal, que está sendo desenvolvido. Vide arquivo Plano de Seguranca da Informacao para o TCE-MG V5.PDF</t>
  </si>
  <si>
    <r>
      <t xml:space="preserve">. Lei n. 13.770, de 06/12/2000, com suas alterações (vide pasta de evidências).
. Resolução n. 04, de 12/05/2010, que dispõe sobre o Plano de Carreira dos Servidores dos Quadros de Cargos de Provimento Efetivo e Suplementar do Tribunal de Contas do Estado de Minas Gerais (vide pasta de evidências).
</t>
    </r>
    <r>
      <rPr>
        <sz val="9"/>
        <rFont val="Tahoma"/>
        <family val="2"/>
      </rPr>
      <t>. Lei n. 19.572, de 10/08/2011 (vide pasta de evidências).</t>
    </r>
  </si>
  <si>
    <r>
      <t>A gestão por competência encontra-se em fase de estudo, para implantação, por grupo de trabalho instituído pela Diretoria de Gestão de Pessoas, em cumprimento ao disposto no item 2.3 do anexo da Resolução n. 09, de 23/06/2010 (vide pasta de evidências), e ao disposto na</t>
    </r>
    <r>
      <rPr>
        <i/>
        <sz val="9"/>
        <color rgb="FF000000"/>
        <rFont val="Tahoma"/>
        <family val="2"/>
      </rPr>
      <t xml:space="preserve"> "Perspectiva de Pessoas, Resultados e Inovação</t>
    </r>
    <r>
      <rPr>
        <sz val="9"/>
        <color rgb="FF000000"/>
        <rFont val="Tahoma"/>
        <family val="2"/>
      </rPr>
      <t xml:space="preserve"> - Objetivo: </t>
    </r>
    <r>
      <rPr>
        <i/>
        <sz val="9"/>
        <color rgb="FF000000"/>
        <rFont val="Tahoma"/>
        <family val="2"/>
      </rPr>
      <t>Implantar a governança de pessoas"</t>
    </r>
    <r>
      <rPr>
        <sz val="9"/>
        <color rgb="FF000000"/>
        <rFont val="Tahoma"/>
        <family val="2"/>
      </rPr>
      <t>, estabelecido no Planejamento Estratégico, aprovado pela Resolução n. 27, de 10/12/2014, para cumprimento no período compreendido entre 2015 e 2019 (vide pasta de evidências).
A avaliação de desempenho dos servidores estáveis e em estágio probatório, regulamentada, respectivamente, pelas Resoluções n. 19, de 01/12/2010, e n. 20, de 01/12/2010 tem foco em gestão por competência, conforme pode ser percebido pelos próprios fatores da avaliação, que abrangem o tripé conhecimento, habilidade e atitude, da forma detalhada na pasta de evidências.</t>
    </r>
    <r>
      <rPr>
        <b/>
        <sz val="9"/>
        <color rgb="FF000000"/>
        <rFont val="Tahoma"/>
        <family val="2"/>
      </rPr>
      <t xml:space="preserve"> 
</t>
    </r>
  </si>
  <si>
    <t>. Art. 6º da Lei n. 13.770, de 06/12/2000, com suas alterações (vide pasta de evidências).
. Arts. 18, 21, 22, 24 e 25 da Resolução n. 04, de 12/05/2010 (vide pasta de evidências).</t>
  </si>
  <si>
    <t>O desenvolvimento na carreira está condicionado à avaliação de desempenho satisfatória e à comprovação de capacitação profissional requerida para mudança de classe, por meio de títulos de escolaridade.
. Arts. 6º e 7º-A da Lei n. 13.770, de 06/12/2000, com suas alterações (vide pasta de evidências).
. Arts. 18, 21, 22, 24, 25 e 29 da Resolução n. 04, de 12/05/2010 (vide pasta de evidências).</t>
  </si>
  <si>
    <t xml:space="preserve">Arts. 13 e 15 da Lei n. 20.227, de 11/06/2012 (vide pasta de evidências). </t>
  </si>
  <si>
    <t>\\china\MMD_QATC\Evidências\Domínio D\GESTÃO DE PESSOAS\Plano de cargos, carreiras e salários\Item a</t>
  </si>
  <si>
    <t>\\china\MMD_QATC\Evidências\Domínio D\GESTÃO DE PESSOAS\Plano de cargos, carreiras e salários\Item b</t>
  </si>
  <si>
    <t>\\china\MMD_QATC\Evidências\Domínio D\GESTÃO DE PESSOAS\Plano de cargos, carreiras e salários\Item c</t>
  </si>
  <si>
    <t>\\china\MMD_QATC\Evidências\Domínio D\GESTÃO DE PESSOAS\Plano de cargos, carreiras e salários\Item d</t>
  </si>
  <si>
    <t>\\china\MMD_QATC\Evidências\Domínio D\GESTÃO DE PESSOAS\Plano de cargos, carreiras e salários\Item e</t>
  </si>
  <si>
    <t>\\china\MMD_QATC\Evidências\Domínio D\GESTÃO DE PESSOAS\Plano de cargos, carreiras e salários\Item f</t>
  </si>
  <si>
    <r>
      <t xml:space="preserve">A política abordada neste item encontra-se formalizada conforme previsto no item 3.4 do anexo da Resolução n. 09, de 23/06/2010 - </t>
    </r>
    <r>
      <rPr>
        <i/>
        <sz val="9"/>
        <color rgb="FF000000"/>
        <rFont val="Tahoma"/>
        <family val="2"/>
      </rPr>
      <t>"Qualidade de Vida, Benefícios e Serviços Complementares"</t>
    </r>
    <r>
      <rPr>
        <sz val="9"/>
        <color rgb="FF000000"/>
        <rFont val="Tahoma"/>
        <family val="2"/>
      </rPr>
      <t xml:space="preserve"> (vide pasta de evidências).</t>
    </r>
  </si>
  <si>
    <t>Não é contemplada a obrigatoriedade de realização de exames períodos, e sim a prioridade a programas que viabilizem a sua realização, conforme previsto no item 3.4.1, d (vide pasta de evidências).</t>
  </si>
  <si>
    <t>A assistência referida neste item é realizada por Psicóloga lotada na Coordenadoria de Serviços Integrados de Saúde (vide pasta de evidências).</t>
  </si>
  <si>
    <t>As palestras e campanhas preventivas são promovidas pela Coordenadoria de Serviços Integrados de Saúde (vide pasta de evidências).</t>
  </si>
  <si>
    <t>Incentiva a prática de esportes por meio de apoio a ações promovidas pela Associação do Servidores do Tribunal de Contas do Estado de Minas Gerais - ASSCONTAS (vide pasta de evidências).</t>
  </si>
  <si>
    <t>\\china\MMD_QATC\Evidências\Domínio D\GESTÃO DE PESSOAS\Política de saúde e qualidade de vida no trabalho\Item a</t>
  </si>
  <si>
    <t>\\china\MMD_QATC\Evidências\Domínio D\GESTÃO DE PESSOAS\Política de saúde e qualidade de vida no trabalho\Item b</t>
  </si>
  <si>
    <t>\\china\MMD_QATC\Evidências\Domínio D\GESTÃO DE PESSOAS\Política de saúde e qualidade de vida no trabalho\Item c</t>
  </si>
  <si>
    <t>\\china\MMD_QATC\Evidências\Domínio D\GESTÃO DE PESSOAS\Política de saúde e qualidade de vida no trabalho\Item e</t>
  </si>
  <si>
    <t>\\china\MMD_QATC\Evidências\Domínio D\GESTÃO DE PESSOAS\Política de saúde e qualidade de vida no trabalho\Item f</t>
  </si>
  <si>
    <t>\\china\MMD_QATC\Evidências\Domínio D\GESTÃO DE PESSOAS\Política de saúde e qualidade de vida no trabalho\Item g</t>
  </si>
  <si>
    <r>
      <t xml:space="preserve">A implantação do disposto neste item é uma das diretrizes constantes no item 3.1 do anexo da Resolução n. 09, de 23/06/2010 (vide pasta de evidências) e uma das iniciativas estratégicas previstas na </t>
    </r>
    <r>
      <rPr>
        <i/>
        <sz val="9"/>
        <rFont val="Tahoma"/>
        <family val="2"/>
      </rPr>
      <t>"Perspectiva de Pessoas, Resultados e Inovação</t>
    </r>
    <r>
      <rPr>
        <sz val="9"/>
        <rFont val="Tahoma"/>
        <family val="2"/>
      </rPr>
      <t xml:space="preserve"> - Objetivo: </t>
    </r>
    <r>
      <rPr>
        <i/>
        <sz val="9"/>
        <rFont val="Tahoma"/>
        <family val="2"/>
      </rPr>
      <t>Implantar a governança de pessoas"</t>
    </r>
    <r>
      <rPr>
        <sz val="9"/>
        <rFont val="Tahoma"/>
        <family val="2"/>
      </rPr>
      <t xml:space="preserve">, estabelecido no Planejamento Estratégico, aprovado pela Resolução n. 27, de 10/12/2014, para cumprimento no período compreendido entre 2015 e 2019 (vide pasta de evidências).
</t>
    </r>
  </si>
  <si>
    <t xml:space="preserve">Considerando que o dimensionamento ainda não foi feito, conforme informado no item anterior, o previsto neste item ainda não pode ser atendido.
Contudo, a lotação dos servidores aprovados no último concurso público de provas e títulos para provimento de cargos efetivos deste Tribunal (Edital 002/06 – Publicação: “MG-28/12/2006”/ Homologação: “MG-11/12/2007”) e que tomaram posse em 10/03/2008 foi feita de acordo com perfis profissionais elaborados pela ALCANCE CONSULTORIA E GESTÃO DE CARREIRA LIMITADA, conforme Contrato n. 006/2008 (vide pasta de evidências), procurando suprir as demandas de cada unidade de lotação apontadas em reunião com os gestores da Casa.
Ademais, foram elaborados, pela mesma consultoria, perfis profissionais de servidores aprovados no referido concurso e que tomaram posse após 10/03/2008, conforme Contrato 012/2009 (vide pasta de evidências), buscando atender às demandas de lotação. 
</t>
  </si>
  <si>
    <t>Art. 3º da Lei 19.572, de 10/08/2011 (vide pasta de evidências).</t>
  </si>
  <si>
    <t>. Art. 2º da Lei 19.572, de 10/08/2011 (vide pasta de evidências).
. Art. 1º da Resolução Delegada 02, de 10/08/2011 (vide pasta de evidências).</t>
  </si>
  <si>
    <r>
      <t xml:space="preserve">Os servidores aprovados no último concurso público de provas e títulos para provimento de cargos efetivos deste Tribunal (Edital 002/06 – Publicação: “MG-28/12/2006”/ Homologação: “MG-11/12/2007”) e que tomaram posse em 10/03/2008 participaram de programa de treinamento e ambientação promovido pela Escola de Contas e Capacitação Professor Pedro Aleixo no período compreendido entre 11/03/2008 e 15/04/2008, denominado </t>
    </r>
    <r>
      <rPr>
        <i/>
        <sz val="9"/>
        <rFont val="Tahoma"/>
        <family val="2"/>
      </rPr>
      <t>"I Programa de Formação de Novos Servidores do TCEMG"</t>
    </r>
    <r>
      <rPr>
        <sz val="9"/>
        <rFont val="Tahoma"/>
        <family val="2"/>
      </rPr>
      <t xml:space="preserve"> (vide pasta de evidências).</t>
    </r>
  </si>
  <si>
    <r>
      <t xml:space="preserve">O atendimento ao disposto neste item depende do mapeamento de competências técnicas, comportamentais e gerenciais para identificação do perfil profissional compatível com as atribuições dos cargos, que está está em fase de estudo para implantação, por grupo de trabalho instituído pela Diretoria de Gestão de Pessoas, em cumprimento ao disposto no item 2.3 do anexo da Resolução n. 09, de 23/06/2010 (vide pasta de evidências), e ao disposto na </t>
    </r>
    <r>
      <rPr>
        <i/>
        <sz val="9"/>
        <rFont val="Tahoma"/>
        <family val="2"/>
      </rPr>
      <t>"Perspectiva de Pessoas, Resultados e Inovação</t>
    </r>
    <r>
      <rPr>
        <sz val="9"/>
        <rFont val="Tahoma"/>
        <family val="2"/>
      </rPr>
      <t xml:space="preserve"> - Objetivo: </t>
    </r>
    <r>
      <rPr>
        <i/>
        <sz val="9"/>
        <rFont val="Tahoma"/>
        <family val="2"/>
      </rPr>
      <t>Implantar a governança de pessoas"</t>
    </r>
    <r>
      <rPr>
        <sz val="9"/>
        <rFont val="Tahoma"/>
        <family val="2"/>
      </rPr>
      <t>, estabelecido no Planejamento Estratégico, aprovado pela Resolução n. 27, de 10/12/2014, para cumprimento no período compreendido entre 2015 e 2019 (vide pasta de evidências).</t>
    </r>
  </si>
  <si>
    <t>\\china\MMD_QATC\Evidências\Domínio D\GESTÃO DE PESSOAS\Recrutamento, lotação e liderança\Item a</t>
  </si>
  <si>
    <t>\\china\MMD_QATC\Evidências\Domínio D\GESTÃO DE PESSOAS\Recrutamento, lotação e liderança\Item b</t>
  </si>
  <si>
    <t>\\china\MMD_QATC\Evidências\Domínio D\GESTÃO DE PESSOAS\Recrutamento, lotação e liderança\Item c</t>
  </si>
  <si>
    <t>\\china\MMD_QATC\Evidências\Domínio D\GESTÃO DE PESSOAS\Recrutamento, lotação e liderança\Item d</t>
  </si>
  <si>
    <t>\\china\MMD_QATC\Evidências\Domínio D\GESTÃO DE PESSOAS\Recrutamento, lotação e liderança\Item e</t>
  </si>
  <si>
    <t>\\china\MMD_QATC\Evidências\Domínio D\GESTÃO DE PESSOAS\Recrutamento, lotação e liderança\Item f</t>
  </si>
  <si>
    <r>
      <t xml:space="preserve">O mapeamento de competências técnicas, comportamentais e gerenciais para identificação do perfil profissional compatível com as atribuições dos cargos encontra-se em fase de estudo, para implantação, por grupo de trabalho instituído pela Diretoria de Gestão de Pessoas, em cumprimento ao disposto no item 2.3 do anexo da Resolução n. 09, de 23/06/2010 (vide pasta de evidências), e ao disposto na </t>
    </r>
    <r>
      <rPr>
        <i/>
        <sz val="9"/>
        <rFont val="Tahoma"/>
        <family val="2"/>
      </rPr>
      <t>"Perspectiva de Pessoas, Resultados e Inovação</t>
    </r>
    <r>
      <rPr>
        <sz val="9"/>
        <rFont val="Tahoma"/>
        <family val="2"/>
      </rPr>
      <t xml:space="preserve"> - Objetivo: </t>
    </r>
    <r>
      <rPr>
        <i/>
        <sz val="9"/>
        <rFont val="Tahoma"/>
        <family val="2"/>
      </rPr>
      <t>Implantar a governança de pessoas"</t>
    </r>
    <r>
      <rPr>
        <sz val="9"/>
        <rFont val="Tahoma"/>
        <family val="2"/>
      </rPr>
      <t>, estabelecido no Planejamento Estratégico, aprovado pela Resolução n. 27, de 10/12/2014, para cumprimento no período compreendido entre 2015 e 2019 (vide pasta de evidências).</t>
    </r>
  </si>
  <si>
    <t xml:space="preserve">Embora o mapeamento de competências ainda esteja em fase de estudo, para implantação, conforme informado no item anterior, considera-se que o previsto neste item é atendido, uma vez que, ainda que de forma empírica, os líderes são escolhidos por apresentarem conhecimentos, habilidades e atitudes compatíveis com a função a ser desempenhada.   </t>
  </si>
  <si>
    <t xml:space="preserve">A avaliação de desempenho dos servidores estáveis e em estágio probatório, regulamentada, respectivamente, pelas Resoluções n. 19, de 01/12/2010, e n. 20, de 01/12/2010 tem foco em gestão por competência, conforme pode ser percebido pelos próprios fatores da avaliação, que abrangem o tripé conhecimento, habilidade e atitude, da forma detalhada na pasta de evidências. 
</t>
  </si>
  <si>
    <t xml:space="preserve">Foram realizadas duas pesquisas de clima organizacional, a primeira em 2010 e a segunda em 2014 (vide pasta de evidências), porém não foram realizados monitoramento dos resultados e plano de ação para aperfeiçoamento da atuação das referidas pesquisas. Ademais, não foi definida, ainda, a regularidade desejada para a realização das pesquisas de clima organizacional.
</t>
  </si>
  <si>
    <t>\\china\MMD_QATC\Evidências\Domínio D\GESTÃO DE PESSOAS\Liderança, avaliação de desempenho e valorização dos servidores\Item a</t>
  </si>
  <si>
    <t>\\china\MMD_QATC\Evidências\Domínio D\GESTÃO DE PESSOAS\Liderança, avaliação de desempenho e valorização dos servidores\Item b</t>
  </si>
  <si>
    <t>\\china\MMD_QATC\Evidências\Domínio D\GESTÃO DE PESSOAS\Liderança, avaliação de desempenho e valorização dos servidores\Item c</t>
  </si>
  <si>
    <t>\\china\MMD_QATC\Evidências\Domínio D\GESTÃO DE PESSOAS\Liderança, avaliação de desempenho e valorização dos servidores\Item d</t>
  </si>
  <si>
    <t>\\china\MMD_QATC\Evidências\Domínio D\GESTÃO DE PESSOAS\Liderança, avaliação de desempenho e valorização dos servidores\Item e</t>
  </si>
  <si>
    <t>\\china\MMD_QATC\Evidências\Domínio D\GESTÃO DE PESSOAS\Liderança, avaliação de desempenho e valorização dos servidores\Item f</t>
  </si>
  <si>
    <t>\\china\MMD_QATC\Evidências\Domínio D\GESTÃO DE PESSOAS\Liderança, avaliação de desempenho e valorização dos servidores\Item g</t>
  </si>
  <si>
    <t xml:space="preserve">A Escola de Contas integra a estrutura organizacionaldo Tribunal, conforme previsto no art. 6 de sua Lei Orgânica - LC  estadual nº 102/08 </t>
  </si>
  <si>
    <t>A Escola de Contas tem sede própria, localizada no primeiro andar do edifício anexo do Tribunal</t>
  </si>
  <si>
    <t xml:space="preserve">A Escola de Contas conta com 27 funcionários. A Revista, que integra a estrutura da Escola, conta com 10 funcionários, e a Biblioteca, com 25 </t>
  </si>
  <si>
    <t>Nossos servidores são capacitados em cursos de Pós-Graduação lato sensu, ministrados e certificados pela própria Escola. Também em cursos de curta duração, como aulas e palestras, organizados pela Escola. A capacitação também ocorrem em eventos externos, ministrados por outras entidades, como cursos, congressos, palestras, financiados pelo Tribunal.</t>
  </si>
  <si>
    <t xml:space="preserve">Nossos juridicionados são cpacitados em curso de pós-graduação, organizados pela Escola de Contas, e em outras ações de capacitação, em que se destaca cursos, palestras, congressos, seminários, Conferêncas Anula de Controle Esxterno, Encontros Técnicos Regionais, com os servidores de Municípios. </t>
  </si>
  <si>
    <t>OS controladores sociais e a sociedade civil em geral já tem sido contemplado em nossas açoes de capacitação. A III Conferência de Controle Externo tem a participação significativa de estudantes, professores e conselheiros de políticas públicas. Entretanto, está sendo planejada pela Escola de Contas e Presidência uma ação de capacitação direcionada especificamente aos conselheiros de políticos, e profissionais de organizações da sociedade civil para qualificá-los  a lidar e fiscalizar recursos e políticas públicas .</t>
  </si>
  <si>
    <t>Fazemos a leitura diária do cliipping (seleção de notíciais)</t>
  </si>
  <si>
    <t>Foi elaborada uma Poliítica de Comunicação e apresentada na gestão anterior, porém não tramitou. Será apresentada novamente. (Arquivo). O plano decorrerá da política.</t>
  </si>
  <si>
    <t xml:space="preserve">Possui estrutura de pessoal, porém adaptada sem cargo efetivo da área de Comunicação. São servidores concursados para outros cargos com  formação e profissionais na área, juntamente com terceirizados profissionais da área. </t>
  </si>
  <si>
    <t>Subordinada à Diretoria-Geral - Resolução 02/15</t>
  </si>
  <si>
    <t>http://tcjuris.tce.mg.gov.br/</t>
  </si>
  <si>
    <t>https://doc.tce.mg.gov.br/</t>
  </si>
  <si>
    <t>O Tribunal possui sistema informatizado próprio para consulta a todos os seus julgados, denominado TC Juris, que é  permanentemente alimentado e disponível no site do TCEMG na internet.  Trata-se de uma ferramenta de pesquisa livre de julgados, por meio de expressões e palavras-chave que são digitadas pelo usuário.</t>
  </si>
  <si>
    <t>Os links contém apenas o inteiro teor da deliberação, que obrigatoriamente contém o voto condutor e eventuais notas taquigráficas, quando há discussão, divergência ou sustentação oral, nos termos regimentais; o link para o parecer ministerial pode ser encontrado no ícone "Acompanhamento de processos" no site, buscando por número do processo. Os relatórios técnicos, no entanto, só ficam disponíveis internamente. Porém temos todas as condições implementadas para disponibilizar tanto o parecer quanto os relatórios técnicos no site, via "Acompanhamento de Processos" ou no sistema de jurisprudência TC Juris.</t>
  </si>
  <si>
    <t>Há controles por parte da DTI, no que tange à estabilidade do site do TCEMG e disponibilidade do Diário Oficial de Contas (DOC); por parte da Diretoria de Comunicação, responsável pelo conteúdo do site e pela edição diária do DOC; quanto ao conteúdo, há sistemas de conferência na Coordenadoria de Taquigrafia e Acórdão (responsável pela publciação das ementas e pareceres); e está nas atribuições da Assessoria de Súmula e Jurispudência planejar e supervisionar as atividades de análise, estudo, indexação, catalogação ou sistematização da jurisprudência do Tribunal, nos termos da Resolução TC 02/2015.</t>
  </si>
  <si>
    <t>Processo para contratação de empresa para a transmissão e disponibilização em vídeo das sessões foi iniciado. (arquivo)</t>
  </si>
  <si>
    <t>http://ouvidoria.tce.mg.gov.br</t>
  </si>
  <si>
    <r>
      <t>Processo de finalização conforme</t>
    </r>
    <r>
      <rPr>
        <sz val="9"/>
        <color rgb="FFFF0000"/>
        <rFont val="Tahoma"/>
        <family val="2"/>
      </rPr>
      <t xml:space="preserve"> </t>
    </r>
    <r>
      <rPr>
        <sz val="9"/>
        <rFont val="Tahoma"/>
        <family val="2"/>
      </rPr>
      <t xml:space="preserve">mapa estratégico da Ouvidoria elaborado nas reuniões de Desdobramento do Planejamento Estratégico  entregue à unidade Assessoria de Planejamento e Desenvolvimento Organizacional </t>
    </r>
  </si>
  <si>
    <t>Definiram-se 2 prazos. O 1º prazo refere-se a resposta direta da Ouvidoria ao cidadão em até 5 dias uteis. O outro prazo é dado às unidades demandadas que têm 5 dias uteis podendo ser prorrogado por igual prazo.  84% das demandas são respondidas nos prazos estabelecidos</t>
  </si>
  <si>
    <r>
      <t>A Ouvidoria disponibiliza a pesquisa de satisfação a todos os cidadãos quando encaminha a resposta final da demanda. Todavia, considerando que o sistema SIGAOUV foi validado em 3/2/2015, a Ouvidoria tem se preocupado em aprimorar referida pesquisa de forma a possibilitar que ela se torne um efetivo instrumento</t>
    </r>
    <r>
      <rPr>
        <i/>
        <sz val="9"/>
        <color rgb="FF000000"/>
        <rFont val="Tahoma"/>
        <family val="2"/>
      </rPr>
      <t xml:space="preserve"> de  medição de desempenho </t>
    </r>
  </si>
  <si>
    <t xml:space="preserve">Participação e realização de eventos, conforme demonstrado nos Relatórios analíticos de 2014 (p.28 a 30) e 2013 (p.10, 11,31a 39). Recebemos servidores e cidadãos de outros órgãos para capacitação sobre funcionamento da Ouvidoria.   </t>
  </si>
  <si>
    <t xml:space="preserve">Os indicadores de desempenho são medidos pelo número de inscritos nos eventos ou pela distribuição de material de divulgação. No período de 2011 a 2014, capacitamos aproximadamente 2000 pessoas entre público interno e externo por meio de seminários, palestras realizadas em Minas Gerais e em outros Estados, conforme se vê no link do item acima - relatórios 2013 e 2014.      </t>
  </si>
  <si>
    <t xml:space="preserve">Já foi elaborado e encontra-se em processo de revisão.  </t>
  </si>
  <si>
    <t>Foram ministradas palestras para todas as unidades do TCE  com enfoque na importância da comunicação e da cultura da transparência, conforme Relatório  Descritivo e Analítico  2013 (p. 31)    http://ouvidoria.tce.mg.gov.br/index.php/2014-03-27-18-05-40/relatorios-analiticos/item/91-relatório-analíti</t>
  </si>
  <si>
    <t>Foram realizadas pesquisas sobre o assunto, tendo sido realizado o esboço de uma carta para a Ouvidoria que, todavia, ainda não foi revisada e colocada em prática</t>
  </si>
  <si>
    <t>Consta dos projetos a serem implantados em decorrência do Plano Estratégico a implantação de sistemática de avaliação da qualidade dos relatórios.</t>
  </si>
  <si>
    <t>A partir de  2011 o Tribunal  implantou o Projeto Otimizar, com o objetivo de racionalizar a análise e contribuir para a redução do estoque. Em 2015, foi instituída a Coordenadoria para Otimização da Instrução Processual – OTIMIZAR (Art. 26 da Resolução 02/2015) . O Otimizar trabalha a partir do estudo do estoque por natureza, fase processual e ano de autuação.http://tclegis.tce.mg.gov.br/Home/DownloadPDF/1136637</t>
  </si>
  <si>
    <t>As metas de análise e deliberação são estabelecidas considerando o ano de ocorrência dos fatos, bem como os critérios de materialidade, relevância e risco.A institucionalização de critérios de seletividade está prevista no Plano Estratégico 2015-2019.</t>
  </si>
  <si>
    <t xml:space="preserve">Edital de concurso e licitação, acompanhamentos de PPP, auditoria operacional e outros. </t>
  </si>
  <si>
    <t>O Tribunal possui sistema de recebimento de informações para análise prévia de editais de concurso público; realiza análise prévia de editais de licitação; possui sistema que recebe informações de obras e LRF.</t>
  </si>
  <si>
    <t>I) O SICOM recebe informações resumidas sobre licitações e contratos. Todas as informações sobre as Obras são encaminhadas via sistema informatizado. II) a análise dos editas, antes do recebimento das propostas,  somente ocorre quando há denúncia. III) somente mediante denúncias. IV) são expedidas medidas cautelares V) são determinadas correções nos procedimentos, quando analisados.</t>
  </si>
  <si>
    <t>Termo de Responsabilidade (modelo)</t>
  </si>
  <si>
    <t>Relatórios de inteligência  e Relatórios da Malha</t>
  </si>
  <si>
    <t>Possui guarda material - fechadura eletrônica, etoken, pastas de acessos restrito</t>
  </si>
  <si>
    <t>Acordos de cooperação</t>
  </si>
  <si>
    <t>Existe projeto encaminhado para a DTI</t>
  </si>
  <si>
    <t>Convênio n. 012/2011 , assinado em 28/11/2011, vigência de 60 meses a contar da assinatura</t>
  </si>
  <si>
    <t>O Tribunal realiza ações de fomento em parceria com o SEBRAE e promoveu palestras e capacitações para os jurisdicionados nos Encontros Técnicos de 2014.</t>
  </si>
  <si>
    <t>Tribunal é signatário da Carta de Fortaleza</t>
  </si>
  <si>
    <t>A Sistemática de Controle de Qualidade está em fase de implementação.</t>
  </si>
  <si>
    <t xml:space="preserve"> Manual de Auditoria do TCEMG (Resolução 02/2013) - http://www.tce.mg.gov.br/projetoauditar/</t>
  </si>
  <si>
    <t>Portaria 025/PRES/14 - Aprova e implementa o Manual de Procedimentos para Realização de Auditorias de Conformidade e Elaboração de Relatórios no âmbito das Diretorias Técnicas do Tribunal de Contas do Estado de Minas Gerais</t>
  </si>
  <si>
    <t>Manual de Auditoria do TCEMG (Resolução 02/2013) - http://www.tce.mg.gov.br/projetoauditar/</t>
  </si>
  <si>
    <t>Os auditores são todos servidores efetivos e têm,  em média, mais de dez anos de experiência.</t>
  </si>
  <si>
    <t>Os auditores são todos servidores efetivos e têm,  em média, mais de dez anos de experiência</t>
  </si>
  <si>
    <t>Tabela de Temporalidade e Destinação de Documentos - http://www.tce.mg.gov.br/img/gpad/Tabela-de-Temporalidade.pdf</t>
  </si>
  <si>
    <t xml:space="preserve">Manual de Auditoria do TCEMG - Manual de Auditoria operacional do TCU </t>
  </si>
  <si>
    <t xml:space="preserve"> A equipe teve muita capacitação até 2012. Depois houve uma redução progressiva.  2014 houve algumas capacitações e em 2015 nenhuma. Existem servidores que não tiveram nenhuma capacitação até a data atual.</t>
  </si>
  <si>
    <t xml:space="preserve">A exceção das auditorias coordenadas pelo TCU, que faz um controle de qualidade dos trabalhos, as demais sofrem controle apenas internamente. Não existe no Tribunal uma instância para o controle de qualidade. </t>
  </si>
  <si>
    <t>O Tribunal possui unidade especializada para realização de auditorias operacionais (art. 43 da Resolução 02/2015)</t>
  </si>
  <si>
    <t>Quando foi criada a Coordenadoria houve muita capacitação. Todavia houve uma redução progressiva nos ultimos anos.</t>
  </si>
  <si>
    <t xml:space="preserve">Matriz de planejamento - Manual de Auditoria do TCEMG - Manual de Auditoria operacional do TCU </t>
  </si>
  <si>
    <t>Relatório Farmácia de Minas</t>
  </si>
  <si>
    <t>Conforme Relatório do Sistema de Gestão e Administração de Processos do TCEMG, mais de 80% das auditorias autuadas em 2013 e 2014 encontram-se em tramitação. Consta das Metas Institucionais de 2015 a deliberação de no mínimo 70% das auditorias autuadas no período de 01/01 a 31/08/2015.</t>
  </si>
  <si>
    <t>O Tribunal não divulga os relatórios de auditoria antes da deliberação. Quando há solicitação de informações relativas a processos de controle externo em andamento, a informação será forneceida após apresentação da defesa, mediante despacho do relator. Art. 11 da Resolução n. 12/2014.</t>
  </si>
  <si>
    <t xml:space="preserve">Foi instituída em 2015 a Coordenadoria de Pós-Deliberação que realizará o acompanhamento das deliberações do Tribunal. A área ainda está em fase de estruturação e, junto à DTI, especificação de um sistema </t>
  </si>
  <si>
    <t>Os processos consistidos como regulares pelo Sistema de Fiscalização de Atos de Pessoal (FISCAP) são deliberados em menos de 4 meses.</t>
  </si>
  <si>
    <t xml:space="preserve">TRIBUNAL DE CONTAS DO ESTADO DE MINAS GERAIS
Diretoria de xxxxxxxxxx - QATC 2015                                               </t>
  </si>
  <si>
    <t>TRIBUNAL DE CONTAS DO ESTADO DE MINAS GERAIS
Diretoria de xxxxxxxxx</t>
  </si>
  <si>
    <t xml:space="preserve">TRIBUNAL DE CONTAS DO ESTADO DE MINAS GERAIS
Diretoria de xxxxxxxxxxxx - QATC 2015         </t>
  </si>
  <si>
    <t>Os monitoramentos foram iniciados em 2015. Farmácia de Minas, Travessia, Saneamento básico, Unidades de Conservação e Meio Ambiente. Os relatórios de monitoramento ainda não foram elaborados.</t>
  </si>
  <si>
    <t>Manual de Auditoria do TCEMG (Resolução 02/2013) - http://www.tce.mg.gov.br/projetoauditar</t>
  </si>
  <si>
    <t xml:space="preserve">Geo-Obras, Matriz de planejamento </t>
  </si>
  <si>
    <t>Matriz de planejamento</t>
  </si>
  <si>
    <t>Matriz de Achados - checklist</t>
  </si>
  <si>
    <t>Relatório de Uberlândia</t>
  </si>
  <si>
    <t>Relatório de Auditoria do Mineirão</t>
  </si>
  <si>
    <t>..\Evidências\Domínio A\Quanto aos Conselheiros Substitutos</t>
  </si>
  <si>
    <t>..\Evidências\Domínio C\SÚMULA E JURISPRUDÊNCIA\Diretrizes gerais</t>
  </si>
  <si>
    <t>www.tce.mg.gov.br</t>
  </si>
  <si>
    <t>..\Evidências\Domínio C\SÚMULA E JURISPRUDÊNCIA\Súmulas</t>
  </si>
  <si>
    <t>..\Evidências\Domínio C\CONTROLE INTERNO\Ambiente de Controle Interno</t>
  </si>
  <si>
    <t>..\Evidências\Domínio C\CONTROLE INTERNO\Atividades de controle interno dos Tribunais de Contas</t>
  </si>
  <si>
    <t>..\Evidências\Domínio C\GESTÃO DE TECNOLOGIA DA INFORMAÇÃO\Estrutura de Tecnologia da Informação</t>
  </si>
  <si>
    <t>..\Evidências\Domínio C\CONTROLE INTERNO\Controle interno dos jurisdicionados</t>
  </si>
  <si>
    <t xml:space="preserve">www.tce.mg.gov.br/Auditoria-Operacional-avalia-as-areas-de-Educacao-Saude-e-Meio-Ambiente-.html/Noticia/1111620986 </t>
  </si>
  <si>
    <t>..\Evidências\Domínio H\COMUNICAÇÃO COM A MÍDIA, COM OS CIDADÃOS E COM AS ORGANIZAÇÕES DA DA SOCIEDADE CIVIL\Comunicação com a mídia</t>
  </si>
  <si>
    <t>Foram definidos indicadores para os objetivos e iniciativas estratégicos do Plano, bem como para os objetivos e iniciativas dos 16 Mapas Estratégicos das áreas do Tribunal. Ver arquivos de indicadores.</t>
  </si>
  <si>
    <t>O processo de planejamento estratégico promoveu a análise dos ambientes interno e externo, por meio de vários instrumentos: entrevistas a pessoas-chave, análise de informações e documentos da gestão, benchmarking em instituições similares, pesquisa sobre as macrotendências do controle externo, avaliação de áreas-chave: governança de pessoas e de TI. Ver Plano 2015-2019, págs. 9 a 12.</t>
  </si>
  <si>
    <t>O processo de planejamento estratégico incluiu a revisão da identidade organizacional e a construção de objetivos e iniciativas para o período 2015-2019.  Ver Plano 2015-2019, pags. 13 a 15.</t>
  </si>
  <si>
    <t>O processo de planejamento estratégico promoveu a análise dos ambientes interno e externo, por meio de vários instrumentos: entrevistas a pessoas-chave, análise de informações e documentos da gestão, benchmarking em instituições similares, pesquisa sobre as macrotendências do controle externo, avaliação de áreas-chave: governança de pessoa e de TI. Ver Plano 2015-2019, págs. 6 a 9.</t>
  </si>
  <si>
    <t>As medidas estão previstas nos objetivos e iniciativas estratégicas. Ver Plano 2015-2019, págs. 16 a 29.</t>
  </si>
  <si>
    <t>O  Ministério Público ocupa parte do 3º andar do Edifício Sede com gabinetes individualizados para cada Procurador e secretaria própria que atende a todos os gabinetes</t>
  </si>
  <si>
    <t>..\Evidências\Domínio A\Quanto ao Ministério Público de Contas</t>
  </si>
  <si>
    <t>..\Evidências\Domínio B\Dimensão i - Estrutura da unidade de planejamento estratégico\a</t>
  </si>
  <si>
    <t>Ver organograma do TCEMG</t>
  </si>
  <si>
    <t>..\Evidências\Domínio B\Dimensão i - Estrutura da unidade de planejamento estratégico\b</t>
  </si>
  <si>
    <t>..\Evidências\Domínio B\Dimensão i - Estrutura da unidade de planejamento estratégico\c</t>
  </si>
  <si>
    <t>..\Evidências\Domínio B\Dimensão i - Estrutura da unidade de planejamento estratégico\d</t>
  </si>
  <si>
    <t>..\Evidências\Domínio B\Dimensão ii - Conteúdo do planejamento estratégico\a</t>
  </si>
  <si>
    <t>..\Evidências\Domínio B\Dimensão ii - Conteúdo do planejamento estratégico\b</t>
  </si>
  <si>
    <t>..\Evidências\Domínio B\Dimensão ii - Conteúdo do planejamento estratégico\c</t>
  </si>
  <si>
    <t>..\Evidências\Domínio B\Dimensão ii - Conteúdo do planejamento estratégico\d</t>
  </si>
  <si>
    <t>..\Evidências\Domínio B\Dimensão ii - Conteúdo do planejamento estratégico\e</t>
  </si>
  <si>
    <t>..\Evidências\Domínio B\Dimensão iii -Processo de planejamento estratégico\a</t>
  </si>
  <si>
    <t>..\Evidências\Domínio B\Dimensão iii -Processo de planejamento estratégico\b</t>
  </si>
  <si>
    <t>..\Evidências\Domínio B\Dimensão iii -Processo de planejamento estratégico\c</t>
  </si>
  <si>
    <t>..\Evidências\Domínio B\Dimensão iii -Processo de planejamento estratégico\d</t>
  </si>
  <si>
    <t>..\Evidências\Domínio B\Dimensão iii -Processo de planejamento estratégico\e</t>
  </si>
  <si>
    <t>..\Evidências\Domínio B\Dimensão iii -Processo de planejamento estratégico\f</t>
  </si>
  <si>
    <t>..\Evidências\Domínio B\Dimensão iii -Processo de planejamento estratégico\g</t>
  </si>
  <si>
    <t>..\Evidências\Domínio B\Dimensão iv - Processo de planejamento anual\a</t>
  </si>
  <si>
    <t>..\Evidências\Domínio B\Dimensão iv - Processo de planejamento anual\b</t>
  </si>
  <si>
    <t>..\Evidências\Domínio B\Dimensão iv - Processo de planejamento anual\c</t>
  </si>
  <si>
    <t>O Código de Ética está disponível no site do Tribunal de Contas</t>
  </si>
  <si>
    <t xml:space="preserve"> da Resolução 02/2015</t>
  </si>
  <si>
    <t>A Coordenadoria com estrutura de pessoal própria, composta por 7 servidores efetivos.</t>
  </si>
  <si>
    <t>No planejamento estratégico há iniciativas como a elaboração da cartilha de ética; orientação dos gestores a respeito das questõe éticas, por meio do projeto gestores em ação, realizado em parceria com a DGP ; criação de comissão de ética; treinamento específico para os membros da comissão de ética.</t>
  </si>
  <si>
    <t>A Corregedoria funciona em sala própria no 6º andar do Ed. Anexo, distinta do Gabinete do Conselheiro Corregedor</t>
  </si>
  <si>
    <t>..\Evidências\Domínio C\CORREGEDORIA\Estrutura da Corregedoria\a</t>
  </si>
  <si>
    <t>A Resolução n. 09/2014 regulamenta os procedimentos de correição nas unidades que compõem a estrutura do Tribunal de Contas do Estado de Minas Gerais</t>
  </si>
  <si>
    <t>A Corregedoria disponibiliza as orientações emitidas pelo Conselheiro Corregedor, relativas a questões de sua competência, conforme art. 44, inciso II, da Resolução n. 12-/08.</t>
  </si>
  <si>
    <t>A Corregedoria está prevista na estrutura organizacional conforme art. 6º da Lei Orgânica (LC nº 102/2008), art. 23, inciso V do Regimento Interno e Anexo I da Resolução Delegada nº 02/2015</t>
  </si>
  <si>
    <t>A Diretoria de Tecnologia da Informação está prevista no anexo I da Resolução Delegada 01/2015 e Resolução 02/2015</t>
  </si>
  <si>
    <t>..\Evidências\Domínio D\ESCOLA DE CONTAS\Estrutura da Escola de Contas</t>
  </si>
  <si>
    <t>A Controladoria Interna está vinculada à Presidencia conforme Resolução 02/2015 - Anexo I</t>
  </si>
  <si>
    <t>..\Evidências\Domínio C\CONTROLE INTERNO\Unidade de Controle Interno dos Tribunais de Contas</t>
  </si>
  <si>
    <t>..\Evidências\Domínio C\CONTROLE INTERNO\Unidade de Controle Interno dos Tribunais de Contas\a</t>
  </si>
  <si>
    <t>A Controladoria Interna é composta por 7 servidores efetivos conforme disposto no art. 6º  da Resolução n. 07/2010</t>
  </si>
  <si>
    <t>As unidades integrantes da estrutural organizacional da Casa tem a responsabilidade de disponibilizar à unidade de controle interno toda a documentação, informações, acesso aos sistemas e banco de dados necessárias à execução de suas atividades, em consonância com o art. 5º da Resolução 07/2010.</t>
  </si>
  <si>
    <t xml:space="preserve">Consta análise da Controladoria Interna como parte integrante da Prestação de Contas </t>
  </si>
  <si>
    <t>Os servidores da Controladoria Interna participam dos cursos constantes do cronograma de cursos oferecidos pela Casa, vide relatorios de atividades trimestrais</t>
  </si>
  <si>
    <t>O Conselheiro Corregedor solicita, por expediente, que as áreas enviem até o 5º dia útil os dados necessários à Secretaria da Corregedoria para elaboração do relatório gerencial e publicação no DOC e Portal.</t>
  </si>
  <si>
    <t>O Plano Anual de Atividades é elaborado em atendimento ao art. 10 da Resolução n. 07/2010.</t>
  </si>
  <si>
    <t>Os servidores da Controladoria Interna utilizam as normas internacionais de auditoria, executando seu trabalho de forma técnica.</t>
  </si>
  <si>
    <t>A Controladoria Interna realiza as auditorias previstas no plano anual de Controle Interno.</t>
  </si>
  <si>
    <t>Com o objetivo de desenvolvimento de ações que visem a promoção da boa governança foi elaborada a política de Controle Interno.</t>
  </si>
  <si>
    <t>O Código de Ética dos Servidores do Tribunal de Contas do Estado de Minas Gerais foi aprovado pela Resolução nº 14/2013</t>
  </si>
  <si>
    <t>A Controladoria Interna retorna à unidade auditada para verificar o cumprimento das suas recomendações, inclusive inclui o procedimento no plano anual de controle interno, conforme previsto na Resolução 7/2010, em especial no art. 10, inciso IX.</t>
  </si>
  <si>
    <t>..\Evidências\Domínio C\CONTROLE INTERNO\Ambiente de Controle Interno\Relatório da Controladoria Interna.pdf</t>
  </si>
  <si>
    <t>..\Evidências\Domínio C\CONTROLE INTERNO\Ambiente de Controle Interno\politicadecontroleinterno.pdf</t>
  </si>
  <si>
    <t>..\Evidências\Domínio D\ESCOLA DE CONTAS\Planos de Capacitação\Programa de Extensão - Apresentação.docx</t>
  </si>
  <si>
    <t>As atribuições das diversas unidades da Escola de Contas estão previstas nos arts. 70 a 75 da Resolução nº 02/ 2015, que dispõem sobre a estrutura organizacional das unidades do Tribunal, e na Resolução nº 14/2011</t>
  </si>
  <si>
    <r>
      <t>A capacitação voltada ao aperfeiçoamento das competências dos servidores desta Casa é realizada pela Escola de Contas e Capacitação Professor Pedro Aleixo, que tem por missão promover, por meio de ações de capacitação, o desenvolvimento profissional dos servidores do TCEMG e a difusão de conhecimentos aos jurisdicionados (vide pasta de evidências). 
As demandas são encaminhadas à Escola de Contas e Capacitação Professor Pedro Aleixo pelas unidades deste Tribunal, que têm a atribuição de</t>
    </r>
    <r>
      <rPr>
        <i/>
        <sz val="9"/>
        <color rgb="FF000000"/>
        <rFont val="Tahoma"/>
        <family val="2"/>
      </rPr>
      <t xml:space="preserve"> "Propor à Escola de Contas, por intermédio da Diretoria a que estiver vinculada, se for o caso, cursos e seminários sobre matérias que lhes são afetas"</t>
    </r>
    <r>
      <rPr>
        <sz val="9"/>
        <color rgb="FF000000"/>
        <rFont val="Tahoma"/>
        <family val="2"/>
      </rPr>
      <t xml:space="preserve">, cabendo à Escola, por sua vez, </t>
    </r>
    <r>
      <rPr>
        <i/>
        <sz val="9"/>
        <color rgb="FF000000"/>
        <rFont val="Tahoma"/>
        <family val="2"/>
      </rPr>
      <t>"Identificar, para as unidades demandantes, as ofertas de cursos externos que atendam às necessidades de formação dos servidores"</t>
    </r>
    <r>
      <rPr>
        <sz val="9"/>
        <color rgb="FF000000"/>
        <rFont val="Tahoma"/>
        <family val="2"/>
      </rPr>
      <t xml:space="preserve">, conforme atribuições previstas, respectivamente, no inciso IX do art. 1º e no inciso IX do art. 72, da Resolução 02, de 25/02/2015 (vide pasta de evidências). 
Ademais, os próprios servidores podem solicitar capacitação voltada ao aperfeiçoamento de competências, por meio da Central de Relacionamento com os Servidores - CRS.
</t>
    </r>
  </si>
  <si>
    <t>..\Evidências\Domínio H\OUVIDORIA\Estrutura da Ouvidoria</t>
  </si>
  <si>
    <t>A Ouvidoria está prevista na estrutura organizacional conforme art. 6º da Lei Orgânica (LC nº 102/2008)</t>
  </si>
  <si>
    <t>Conforme disposto no art. 3º da Resolução 05/2010</t>
  </si>
  <si>
    <t>Resolução nº 05/2010</t>
  </si>
  <si>
    <t>Conforme disposto no art. 5º da Resolução n 05/2010</t>
  </si>
  <si>
    <t>..\Evidências\Domínio E\AGILIDADE NO JULGAMENTO DE PROCESSOS E GERENCIAMENTO DE  PRAZOS PELOS TRIBUNAIS DE CONTAS\Prazos para apreciação de processos (julgamento, emissão de parecer, registro etc.)</t>
  </si>
  <si>
    <t xml:space="preserve">REGIMENTO INTERNO artigos 161, 162 e artigo 317 e seguintes </t>
  </si>
  <si>
    <t>..\Evidências\Domínio E\AGILIDADE NO JULGAMENTO DE PROCESSOS E GERENCIAMENTO DE  PRAZOS PELOS TRIBUNAIS DE CONTAS\Medidas para racionalizar a geração de processos (antes da autuação)</t>
  </si>
  <si>
    <t>..\Evidências\Domínio E\AGILIDADE NO JULGAMENTO DE PROCESSOS E GERENCIAMENTO DE  PRAZOS PELOS TRIBUNAIS DE CONTAS\Medidas para assegurar maior celeridade à tramitação de processos (após a autuação)</t>
  </si>
  <si>
    <t>..\Evidências\Domínio E\AGILIDADE NO JULGAMENTO DE PROCESSOS E GERENCIAMENTO DE  PRAZOS PELOS TRIBUNAIS DE CONTAS\Medidas para eliminar ou reduzir o estoque de processos e gerenciar os prazos</t>
  </si>
  <si>
    <t>..\Evidências\Domínio E\CONTROLE EXTERNO CONCOMITANTE\Marco legal do controle concomitante\Geo-Obras</t>
  </si>
  <si>
    <t>..\Evidências\Domínio E\CONTROLE EXTERNO CONCOMITANTE\Termos de Ajuste de Gestão e Medidas Cautelares</t>
  </si>
  <si>
    <t>DOMÍNIO G: RESULTADOS (RELATÓRIO) DE AUDITORIA</t>
  </si>
  <si>
    <t>..\Evidências\Domínio E\CONTROLE EXTERNO CONCOMITANTE\Planejamento e execução do controle concomitante</t>
  </si>
  <si>
    <t>..\Evidências\Domínio E\CONTROLE EXTERNO CONCOMITANTE\Controle concomitante das licitações, contratos, convênios e obras\Geo-Obras</t>
  </si>
  <si>
    <t>..\Evidências\Domínio E\INFORMAÇÕES ESTRATÉGICAS PARA O CONTROLE EXTERNO\Marco Legal da unidade de informações estratégicas</t>
  </si>
  <si>
    <t>Coordenadoria Pós-Deliberação - art. 3º da Resolução 02/2015</t>
  </si>
  <si>
    <t>A Coordenadoria está localizada no subsolo do edificio sede</t>
  </si>
  <si>
    <t>..\Evidências\Domínio E\ACOMPANHAMENTO DAS DECISÕES\Estrutura de acompanhamento das decisões</t>
  </si>
  <si>
    <t>Art. 4º do Anexo I da Resolução n. 02/2015 (Atribuições da CDM) e Art. 8º, VI, da Resolução MPC n. 02/2011 (Atribuições da CAMP)</t>
  </si>
  <si>
    <t>..\Evidências\Domínio E\ACOMPANHAMENTO DAS DECISÕES\Processos de acompanhamento da aplicação de multas, imputação de débitos, determinações e recomendações</t>
  </si>
  <si>
    <t>..\Evidências\Domínio F\PLANEJAMENTO GERAL DA AUDITORIA E GESTÃO DA QUALIDADE\Plano de Auditoria</t>
  </si>
  <si>
    <t>..\Evidências\Domínio F\FUNDAMENTOS DA AUDITORIA DE CONFORMIDADE\Normas e orientações da auditoria de conformidade</t>
  </si>
  <si>
    <t xml:space="preserve"> Manual de Auditoria do TCEMG (Resolução 02/2013) -  Em 2015, foi instituída a Assessoria de Métodos Aplicados e Suporte à Fiscalização (Art. 23 da Resolução 02/2015)</t>
  </si>
  <si>
    <t xml:space="preserve">Manual de Auditoria do TCEMG (Resolução 02/2013) </t>
  </si>
  <si>
    <t xml:space="preserve">Código de Ética dos Servidores do TCEMG (Resolução 14/2013);  - Manual de Auditoria do TCEMG (Resolução 02/2013) - </t>
  </si>
  <si>
    <t>..\Evidências\Domínio F\FUNDAMENTOS DA AUDITORIA DE CONFORMIDADE\Ética e independência na auditoria de conformidade</t>
  </si>
  <si>
    <t>..\Evidências\Domínio F\PROCESSO DE AUDITORIA DE CONFORMIDADE\Planejamento de auditorias de conformidade</t>
  </si>
  <si>
    <t>..\Evidências\Domínio F\PROCESSO DE AUDITORIA DE CONFORMIDADE\Execução de auditoria de conformidade</t>
  </si>
  <si>
    <t>..\Evidências\Domínio F\PROCESSO DE AUDITORIA DE CONFORMIDADE\Avaliação das evidências de auditoria, conclusão e relatório de auditoria de conformidade</t>
  </si>
  <si>
    <t>..\Evidências\Domínio F\FUNDAMENTOS DA AUDITORIA OPERACIONAL\Normas e orientações da auditoria de operacional</t>
  </si>
  <si>
    <t>Código de Ética dos Servidores do TCEMG (Resolução 14/2013);  - Manual de Auditoria do TCEMG (Resolução 02/2013) -</t>
  </si>
  <si>
    <t>..\Evidências\Domínio F\FUNDAMENTOS DA AUDITORIA OPERACIONAL\Ética e independência na auditoria operacional</t>
  </si>
  <si>
    <t>..\Evidências\Domínio F\FUNDAMENTOS DA AUDITORIA OPERACIONAL\Gestão e qualificações da equipe de auditoria operacional</t>
  </si>
  <si>
    <t>..\Evidências\Domínio F\PROCESSO DE AUDITORIA OPERACIONAL\Planejamento de auditorias operacionais</t>
  </si>
  <si>
    <t>..\Evidências\Domínio F\PROCESSO DE AUDITORIA OPERACIONAL\Implementação de auditorias operacionais</t>
  </si>
  <si>
    <t>Z:\Evidências\Domínio F\PROCESSO DE AUDITORIA OPERACIONAL\Relatórios de auditorias operacionais</t>
  </si>
  <si>
    <t>..\Evidências\Domínio G\RESULTADOS DAS AUDITORIAS DE CONFORMIDADE\Abrangência das auditorias</t>
  </si>
  <si>
    <t>..\Evidências\Domínio G\RESULTADOS DAS AUDITORIAS DE CONFORMIDADE\Apresentação dos resultados</t>
  </si>
  <si>
    <t>..\Evidências\Domínio G\AUDITORIA FINANCEIRA\Fundamentos de auditorias financeiras</t>
  </si>
  <si>
    <t>Manual de Auditoria do TCEMG (Resolução 02/2013) -  Exemplos de Papeis de trabalho (Pasta de Evidências).</t>
  </si>
  <si>
    <t>..\Evidências\Domínio G\AUDITORIA FINANCEIRA\Processo de auditoria financeira</t>
  </si>
  <si>
    <t>..\Evidências\Domínio G\AUDITORIAS COM TEMAS ESPECÍFICOS\Auditoria de obras públicas</t>
  </si>
  <si>
    <t>..\Evidências\Domínio G\AUDITORIAS COM TEMAS ESPECÍFICOS\Auditoria de Concessões Públicas</t>
  </si>
  <si>
    <t>Foi elaborada uma Poliítica de Comunicação e apresentada na gestão anterior, porém não tramitou. Já foi apresentada uma nova proposta para a Presidência.</t>
  </si>
  <si>
    <t>Priorizamos as ações e decisões de maior impacto em notícias publicadas no Portal do TCEMG, na Revista Contas Minas (mensal) e nas redes sociais.</t>
  </si>
  <si>
    <t>Por meio do Portal e envio de releases</t>
  </si>
  <si>
    <t>Divulgamos por meio de notícias as inspeções que o TCE tem realizado nos úiltimos anos, em especial, as Auditorias Operacionais são divulgadas. Um exemplo:Auditoria-Operacional-avalia-as-areas-de-Educacao-Saude-e-Meio-Ambiente</t>
  </si>
  <si>
    <t xml:space="preserve">Resolução 02/2015 </t>
  </si>
  <si>
    <t xml:space="preserve">Somente nos casos de Auditorias Operacionais temos feito notícias bem consistentes. </t>
  </si>
  <si>
    <t>O monitoramento da implementação do Plano é realizado por meio de reuniões com as áreas e elaboração de relatórios de execução. No exercício de 2015, a Resolução n.º 02 instituiu o Escritório de Projetos Estratégicos com o objetivo de aprimorar o processo de monitoramento e acompanhamento das ações implementadas através de projetos. Ver arquivos em anexo. A avaliação do exercício de 2014 foi realizada em conjunto com a avaliação geral do Plano, uma vez que coincidiu com o encerramento do ciclo.</t>
  </si>
  <si>
    <t>A sistematização da elaboração de um plano anual com definição clara de responsabilidades, ações e cronograma contitui um dos desafios do novo plano estratégico, uma vez que por meio dele, são definidas a ações priorizadas para o período. Tal sistematização constitui uma ações estratégicas previstas dentro do novo Plano Estratégico 2015-2019, atendendo a iniciativa: "Regulamentar a sistemática de planejamento e gestao estratégicos, com foco nos resultados".</t>
  </si>
  <si>
    <r>
      <t xml:space="preserve">A Diretoria de Tecnologia da Informação funciona no 5º andar do Edifício Anexo - </t>
    </r>
    <r>
      <rPr>
        <sz val="9"/>
        <rFont val="Tahoma"/>
        <family val="2"/>
      </rPr>
      <t xml:space="preserve">Vide Relatório de bens patrimoniais associados à DTI. </t>
    </r>
  </si>
  <si>
    <t>http://corregedoria.tce.mg.gov.br/index.php/relatorios/relatorios-trimestrais</t>
  </si>
  <si>
    <t>Z:\Evidências\Domínio H\OUVIDORIA\Atividades da Ouvidoria</t>
  </si>
  <si>
    <t>As atribuições da Corregedoria estão definidas no art. 7º da Resolução nº 02/2015</t>
  </si>
  <si>
    <t>..\Evidências\Domínio E\DESENVOLVIMENTO LOCAL\Implementação da norma</t>
  </si>
  <si>
    <t>..\Evidências\Domínio E\INFORMAÇÕES ESTRATÉGICAS PARA O CONTROLE EXTERNO\Cooperação Interinstitucional</t>
  </si>
  <si>
    <t>O TCEMG possui processo de sistematização de jurisprudência, disponível no portal do TCEMG (http://mapjuris.tce.mg.gov.br/), que contempla competências técnicas, definidas no art. 10 da Res. n. 2/2015, entre outras diretrizes.</t>
  </si>
  <si>
    <t>A Assessoria de Súmula, Jurisprudência e Consultas Técnicas - ASJCT - é a unidade responsável pela sistematização e divulgação da jurisprudência do TCEMG (art. 10, V, da Res. n. 2/2015).</t>
  </si>
  <si>
    <t>O TCEMG regulamentou o processo para proposição de enunciados de súmula e de uniformização de jurisprudência nos artigos 217 a 225 da Res. n. 12/2008 – RITCEMG. Estabeleceu-se, ainda, no art. 10 da Res. n. 02/2015, o âmbito de atuação da ASJCT nos casos em questão.</t>
  </si>
  <si>
    <t>O trabalho de redação de ementas é realizado, atualmente, pela Coordenadoria de Acórdão e Taquigrafia, porém os integrantes dos gabinetes dos Conselheiros já foram capacitados para exercer tal função. A ASJCT, por sua vez, elabora resumos das deliberações do TCEMG, que são publicadas no MapJuris e no informativo de jurisprudência.</t>
  </si>
  <si>
    <t>O TCJuris (http://tcjuris.tce.mg.gov.br/) é o sistema informatizado que possibilita a busca de todas as deliberações publicadas do TCEMG por meio de pesquisa livre (textual, com conectores lógicos) ou direcionada (número do processo, data da sessão, data da publicação, relator, nome da parte e natureza processual). As pesquisas por temas, súmulas e referências legais, entre outras ferramentas, estão disponíveis no sistema MapJuris (http://mapjuris.tce.mg.gov.br/).</t>
  </si>
  <si>
    <t>São necessárias, pelo menos, 5 (cinco) decisões do Tribunal Pleno no mesmo sentido, mediante aprovação de, no mínimo, 5 (cinco) de seus membros efetivos, em cada uma, para que se possa constituir súmula de jurisprudência (art. 217, §1º, do RITCEMG). Além disso, é possível a edição de enunciados a partir da exegese acolhida, por 5 (cinco) votos, no mínimo, de Conselheiros efetivos, nos incidentes de uniformização (art.  225 do RITCEMG).</t>
  </si>
  <si>
    <t>O ementário dos enunciados de súmula fica disponível para download no portal do TCEMG, na aba “Normas e Jurisprudência” (http://www.tce.mg.gov.br).</t>
  </si>
  <si>
    <t>No ementário de súmula divulgam-se as referências normativas e os precedentes do enunciado.</t>
  </si>
  <si>
    <t>A jurisprudência do TCEMG está sistematizada no MapJuris (http://mapjuris.tce.mg.gov.br/).</t>
  </si>
  <si>
    <t>O sistema MapJuris (http://mapjuris.tce.mg.gov.br/) consiste em ferramenta de mapeamento e sistematização da jurisprudência do TCEMG, que permite ao usuário pesquisar deliberações da Corte por meio das opções “árvore de assuntos”, “referência legal”, “título/resenhas/súmulas” e “textual/dados do processo”.</t>
  </si>
  <si>
    <t>O inteiro teor das decisões do TCEMG pode ser visualizado no TCJuris ou no MapJuris, que ainda possibilitam ao usuário baixar o arquivo correspondente.</t>
  </si>
  <si>
    <t>O informativo de jurisprudência (publicação quinzenal), o qual consiste em resumos das decisões do TCEMG e de outros órgãos (STF, STJ, TCU e TJMG), é disponibilizado no portal do TCEMG (www.tce.mg.gov.br/informativo) e enviado para os e-mails cadastrados.</t>
  </si>
  <si>
    <t xml:space="preserve">O planejamento estratégico atual contempla o aprimoramento dos procedimentos de avaliação dos sistemas de controle interno dos jurisdicionados.Está prevista, a partir de 2017, a meta de avaliação anual de, no mínimo 80% dos controles internos dos jurisdicionados selecionados conforme matriz de risco.
</t>
  </si>
  <si>
    <t>evidencia fisica</t>
  </si>
  <si>
    <t xml:space="preserve">A Controladoria Interna juntamente com a Escola de Contas promoveu a realização de uma questionário visando aprimorar a atividade de controle interno dos Municípios do Estado de Minas Gerais com a finalidade de capacitá-los para apoiar o controle externo, utilizando-se de um questionario para realizar o diagnóstico da situação dos controles internos dos Municípios do Estado de Minas Gerais, em 2015, e, após análise, preparar material para dar suporte às atividades de controle interno, em 2016 </t>
  </si>
  <si>
    <t>http://tce.mg.gov.br</t>
  </si>
  <si>
    <t>http://fiscalizandocomtce.tce.mg.gov.br/Paginas/Compras_Publicas</t>
  </si>
  <si>
    <t>https://libano.tce.mg.gov.br/eeventos/encontrotecnico2015</t>
  </si>
  <si>
    <t>No primeiro semestre deste ano foram realizados encontros técnicos onde consta na pauta palestra sobre a Importância do Controle Interno para Qualidade da Gestão</t>
  </si>
  <si>
    <t>Consta na página do Tribunal link de destaque para acesso às pautas e atas de julgamento do Pleno e Câmaras.</t>
  </si>
  <si>
    <t>É dotada de recursos materiais e tecnológicos suficientes</t>
  </si>
  <si>
    <t>..\Evidências\Domínio H\COMUNICAÇÃO COM A MÍDIA, COM OS CIDADÃOS E COM AS ORGANIZAÇÕES DA DA SOCIEDADE CIVIL\Estruturação da Área de comunicação social e Política de Comunicação</t>
  </si>
  <si>
    <t>A Controladoria Interna encaminha à Assessoria de Planejamento seus relatórios de atividades trimestrais que integram o relatório anual de atividades da Casa encaminhado à Assembleia Legislativa do Estado. Além disto, a Controladoria prepara o relatório previsto no art.  14 da Resolução 7/2010.</t>
  </si>
  <si>
    <t>A Controladoria Interna realiza as auditorias previstas no plano anual e o seu planejamento e execução se faz de acordo com as normas de auditoria governamental.</t>
  </si>
  <si>
    <t>As súmulas vigentes são aplicadas nas deliberações do TCEMG. A título de exemplo, Consultas n. 840.856 (Súmula 91), 772.606 (Súmula 91) e 859.008 (Súmula 35).</t>
  </si>
  <si>
    <t>A jurisprudência do TCEMG é utilizada nos julgamentos da Corte. A título de exemplo, Consultas n. 884.935 e 994.662 e Representação n. 812.244.</t>
  </si>
  <si>
    <t>As decisões  são divulgadas na página do TCEMG e atendem ao disposto na Resolução da Atricon n. 6/2014. A título de exemplo, constam no TCJuris a PCTAS. Mun. n. 641.429, PCTAS. Adm. Ind. n. 873.530, Tomada de Contas Especial n. 912.041, Auditoria Operacional n. 944.812 e Denúncia n. 872.021. Consta, ainda, no Diário Oficial de Contas de 24/6/2015, por exemplo, a medida cautelar concedida no processo n. 952.016.</t>
  </si>
  <si>
    <t xml:space="preserve"> Nas palestras ministradas, procuramos sempre esclarecer às questões relativas as demandas internas e externas que são encaminhadas a Ouvidoria, bem como explicamos didaticamente a LAI, utilizando a  "Cartilha para o cidadão - Transparência Legal"      </t>
  </si>
  <si>
    <t>A Ouvidoria possui estrutura física distinta do Gabinete do Ouvidor, estando localizada no andar térreo do prédio sede do TCE.</t>
  </si>
  <si>
    <t>O Tribunal observa os prazos para apreciação dos processos de contas de governo conforme disposto no art. 3º, incisos I e II, da Lei Complementar Estadual n. 102/2008 (Lei Orgânica do TCEMG)</t>
  </si>
  <si>
    <t>Divulga aos jurisdicionados prazos e regras conforme disposto no REGIMENTO INTERNO; IN n. 03/2011 (Atos de Pessoal); IN n. 03/2014 (PCA Prefeitos); IN n. 03/2013 (Tomada de Contas Especial); IN n. 14/2011 (PC julgamento); IN n. 13/2011 (PCA Governador); IN n. 10/2011 (SICOM); IN n. 06/2011 (PPP)</t>
  </si>
  <si>
    <t>Utiliza o Diário Oficial Eletrônico conforme disciplinado na Resolução 10/10</t>
  </si>
  <si>
    <t>Estabelece padrões e critérios uniformes conforme formulários e manuais do Projeto Otimizar (exemplos) e Módulos de Análise das Contas Anuais dos Prefeitos e dirigentes de  Entidades Municipais (SIACE/PCA, até 2013); Análise das Contas do Chefe do Legislativo Municipal enviados por meio do SICAM (Manual).</t>
  </si>
  <si>
    <t>Aplica os institutos da prescrição e decadência conforme disposto no Lei Orgânica - Artigo 110-A e seguintes e Regimento Interno - Artigo 182-A e seguintes</t>
  </si>
  <si>
    <t>Ver Plano Estratégico</t>
  </si>
  <si>
    <t xml:space="preserve">O devido processo legal está previsto e observado conforme RI, art. 151, art. 172, §2º, art. 183 e seguintes  </t>
  </si>
  <si>
    <t xml:space="preserve">As medidas cautelares estão disciplinadas no art. 197  e seguintes do Regimento Interno </t>
  </si>
  <si>
    <t xml:space="preserve">Os compromissos assumidos nos termos de ajuste de gestão são monitorados conforme disciplina a Resolução n. 14/2014 </t>
  </si>
  <si>
    <t>Os termos de ajuste de gestão observam o disposto no art. 93-A e art. 93-B da Lei Orgânica</t>
  </si>
  <si>
    <t>O Centro de Integração da Fiscalização e de Gestão de Informações Estratégicas – SURICATO, unidade de informações estratégicas conforme disposto no art.  22 da Resolução n. 02/2015, que dispõe sobre a estrutura organizacional e as atribuições das unidades do TCEMG.</t>
  </si>
  <si>
    <t>A unidade é dotada de estrutura de pessoal própria</t>
  </si>
  <si>
    <t>Monitora o seu cumprimento conforme disposto na Resolução n. 14/2014</t>
  </si>
  <si>
    <t>Não há regulamentação porém o Tribunal observa a ordem cronológica nos pagamentos realizados</t>
  </si>
  <si>
    <t xml:space="preserve">A Diretoria de Comunicação consta da estrutura organizacional da Casa, conforme Resolução 02/2015 </t>
  </si>
  <si>
    <t>A Diretoria de Comunicação esta localizada no 5º andar do Edifício Anexo</t>
  </si>
  <si>
    <t xml:space="preserve">A Controladoria Interna pode ser acessada através do envio de e-mail (controladoriainterna@tce.mg.gov.br) além dos canais disponíveis pela Corregedoria e Ouvidoria. </t>
  </si>
  <si>
    <t>Compromisso de sigilio dos integantes conforme art. 11 da Resolução 07/2010 e back up da DTI e da Controladoria.</t>
  </si>
  <si>
    <t>Portaria n 20/PRES/2015 - Acompanhamento da liquidação dos contratos do TCEMG</t>
  </si>
  <si>
    <t>Conforme disposto nos arts. 10 e 12 da Resolução 07/2010ART. 10 E 12 DA RESOLUÇÃO N. 07/2010</t>
  </si>
  <si>
    <t>De forma geral, conforme disposto no art. 5º da Resolução 07/2010</t>
  </si>
  <si>
    <t>A  CONTROLADORIA avalia e assina do Relatorio de Gestão Fiscal, em cumprimento ao art. 54, parágrafo único da Lei Complementar 101/2000, E OS BALANÇOS CONTÁBEIS, em cumprimento ao art. 15 da Resolução 07/2010.</t>
  </si>
  <si>
    <t>Possui estes  instrumentos conforme Título VII do Regimento Interno e  arts. 53 a 63 da Lei Orgânica</t>
  </si>
  <si>
    <t>i) Possui Sistema de Acompanhamento de Obras e Serviços de Engenharia - Geo-obras(Resolução 16/2013 e IN 06/2013); II) Realiza análise, por amostragem, dos editais enviados, para fins de elaboração de matiz de risco e do plano de fiscalização, bem como para suspender o procedimento, em caso de irregularidade grave; III) Procede à fiscalização das obras selecionadas conforme matriz de risco; IV) Determina medidas corretivas na execução das obras.</t>
  </si>
  <si>
    <t>O Centro de Integração da Fiscalização e de Gestão de Informações Estratégicas – SURICATO é vinculado à unidade superior de controle externo - Superintendência de Controle Externo (Resolução 02/2015).</t>
  </si>
  <si>
    <t xml:space="preserve">Inspeção em contratos do TCEMG de acordo com a matriz de risco elaborada pela Controladoria Interna com a participação da Diretoria Geral </t>
  </si>
  <si>
    <t>Os servidores lotados na Controladoria Interna realizam exclusivamente o exercício das atividades de controlador interno, sendo observada a segregação de funções, conforme art. 8 da Resolução n. 7/2010</t>
  </si>
  <si>
    <t xml:space="preserve">A análise é feita de forma jornalística com base na relevância, montantes e urgência. É preciso um treinamento do pessoal da Comunicação na área de Controle Externo </t>
  </si>
  <si>
    <t>O Tribunal prevê  a aplicação de multa ao integrante do controle interno por omissão no cumprimento do devr funcional de levar ao conhecimento da Casa irregularidade ou ilegalidade de que tenha ciência, conforme disposto no art. 85, VII da Lei Orgânica</t>
  </si>
  <si>
    <t>http://www.tce.mg.gov.br</t>
  </si>
  <si>
    <t>http://fiscalizandocomtce.tce.mg.gov.br</t>
  </si>
  <si>
    <t>http://www.tce.mg.gov.br/index.asp?cod_secao=1L&amp;tipo=2&amp;url=Contatos_Geral.asp&amp;cod_secao_menu=3</t>
  </si>
  <si>
    <t>Pelo Portal Fiscalizando com o TCE, pelo Portal Transparência e pelo Fale com o TCE</t>
  </si>
  <si>
    <t>http://portalgeoobras.tce.mg.gov.br/</t>
  </si>
  <si>
    <t xml:space="preserve">Pelo Fale com o TCE,  pelo Geo-Obras com denúncia e fotos que integram o sistema de fiscalização de obras públicas e também pela Ouvidoria. </t>
  </si>
  <si>
    <t>https://libano.tce.mg.gov.br/eeventos/pontoexpressao</t>
  </si>
  <si>
    <t>http://www.tce.mg.gov.br/Diretora-Geral-conta-experiencia-do-TCEMG-em-evento-internacional-de-transparencia-na-PBH-.html/Noticia/1111621330</t>
  </si>
  <si>
    <t>Possui um Programa próprio que é o Ponto de Expressão e participa dos externos</t>
  </si>
  <si>
    <t>https://www.facebook.com/TCEMG/timeline</t>
  </si>
  <si>
    <t>https://twitter.com/tcemg</t>
  </si>
  <si>
    <t>Pelo Portal, intranet, Facebook, Twitter. Youtube é bloqueado pela política de Segurança da DTI.</t>
  </si>
  <si>
    <r>
      <t xml:space="preserve">A ouvidoria está incluída no mapa estratégico do TCEMG no  item Resultados para a sociedade - Fomentar o controle social e a participação da sociedade nas ações de controle externo </t>
    </r>
    <r>
      <rPr>
        <sz val="10"/>
        <color rgb="FF000000"/>
        <rFont val="Arial"/>
        <family val="2"/>
      </rPr>
      <t xml:space="preserve">         </t>
    </r>
  </si>
  <si>
    <t>http://ouvidoria.tce.mg.gov.br/index.php/2014-03-27-18-05-40/relatorios-analiticos</t>
  </si>
  <si>
    <t>http://ouvidoria.tce.mg.gov.br/index.php/2014-03-27-18-05-40/relatorios-analiticos/item/91-relatório-analítico-2013</t>
  </si>
  <si>
    <t>http://www.tce.mg.gov.br/IMG/Comissao%20de%20Publicacoes/Folder_aberto.pdf</t>
  </si>
  <si>
    <t>http://tcnotas.tce.mg.gov.br/TCJuris/Nota/BuscarArquivo/876295</t>
  </si>
  <si>
    <t>http://www.tce.mg.gov.br/index.asp?cod_secao=6N&amp;tipo=2&amp;url=push/login.asp&amp;cod_secao_menu=5K</t>
  </si>
  <si>
    <t xml:space="preserve">Atribui competência ao órgão técnico conforme disposto no art. 140, § 3º do RI, mediante Delegação Portarias de delegação (Ex: Portaria n. 02/2015 Gab. Cons. WA) e REGIMENTO INTERNO - ART. 257-A (ATOS DE PESSOAL)  </t>
  </si>
  <si>
    <t>Possui vários acordos formais com os citados órgãos</t>
  </si>
  <si>
    <t>Possui plano de ação</t>
  </si>
  <si>
    <t>SGAP é utilizado, porém não há alertas. Está em funcionamento o e-consultas, em que pode  haver a possibilidade de gerenciar prazos dessa natureza processual. Posteriormente essa sistemática será estendida para outras naturezas processos.</t>
  </si>
  <si>
    <t>O Tribunal possui a Resolução 09/2014. No entanto ainda não foi instituída a Comissão de Correição</t>
  </si>
  <si>
    <t>Está em estudo a possibilidade de implementação do TAC no ambito do TCE.</t>
  </si>
  <si>
    <t>O controle externo concomitante está previsto no Plano Estratégico 2015-2019 como atividade prioritária.</t>
  </si>
  <si>
    <t>Possui para processos anteriores a 2009 (Projeto Otimizar - formulários)</t>
  </si>
  <si>
    <t>O Tribunal possui norma que regulamenta os procedimentos necessários para ocupação dos cargos vagos. No entanto a Corregedoria não dispõe de um procedimento padrão para verificar se o ocupante do cargo vago preenche os requisitos legais.</t>
  </si>
  <si>
    <t>O número de servidores atende a demanda, em quantidade suficiente e com competência técnica adequada para a execução de um plano anual de atividades, tendo em vista os arts. 6º ao 9º e 10, X da Resolução 07/2010</t>
  </si>
  <si>
    <t>A revisão especial do Plano Estratégico de Tecnologia da Informação – PETI 2009, lançado em consonância com o Plano Estratégico 2010-2014, está prevista para ser realizada conforme o Plano Estratégico 2015-2019, a ser aprovado.</t>
  </si>
  <si>
    <t>O TCE MG aderiu à Rede Nacional de Informações Estratégicas para o Controle Externo (Infocontas)</t>
  </si>
  <si>
    <t>No exercicio de 2015 foram realizadas 14 auditorias e no exercicio de 2014 12 auditorias</t>
  </si>
  <si>
    <t>São considerados quando da concessão da cautelar o referido princípio conforme se verifica, por exemplo, nos processos nºs 912.081, 932.453 e 887.831</t>
  </si>
  <si>
    <t xml:space="preserve">O intercâmbio para o compartilhamento de informações e conhecimentos estratégicos com outros órgãos é realizado mediante a cooperação técnica/convênios. </t>
  </si>
  <si>
    <t xml:space="preserve">Para Consultas e para Contas de Governo </t>
  </si>
  <si>
    <t>Existem processos cuja tramitação é eletrônica (consulta e aposentadorias, reformas e pensões consistidas regulares pelo FISCAP). A implantação do processo eletrônico está prevista no Plano Estratégico do TCEMG.</t>
  </si>
  <si>
    <t>Para processos de Contas de Governo</t>
  </si>
  <si>
    <t xml:space="preserve">Principalmente nos editais de licitação e concurso. </t>
  </si>
  <si>
    <t>A média do prazo de análise da cautelar é superior a 3 meses</t>
  </si>
  <si>
    <t>http://www.tce.mg.gov.br/IMG/Auditoria%20Operacional/RELAT%C3%93RIO%20FINAL%20UCPIs.pdf</t>
  </si>
  <si>
    <t>Adota o Manual de Auditoria Operacional do TCU</t>
  </si>
  <si>
    <t>Realiza os procedimentos conforme Manual de Auditoria Operacional do TCU</t>
  </si>
  <si>
    <t>Relatório de auditoria em meio ambiente e Folders</t>
  </si>
  <si>
    <t xml:space="preserve">atende </t>
  </si>
  <si>
    <t>Utiliza o Manual de Auditoria Operacional do TCU</t>
  </si>
  <si>
    <t xml:space="preserve">Apenas a Coordenadoria de Fiscalização de Projetos Financiados por Instituições de Fomento. Na Diretoria de Engenharia e Perícia e Matérias Especiais apenas esta Coordenadoria faz auditoria financeira.  </t>
  </si>
  <si>
    <t xml:space="preserve">A Coordenadoria de Fiscalização de Projetos Financiados por Instituições de Fomento possui a atribuição de acompanhar a implementação das determinações e recomendações das auditorias financeiras </t>
  </si>
  <si>
    <t>..\Evidências\Domínio G\RESULTADO DAS AUDITORIAS OPERACIONAIS\Abrangência, seleção e objetivo</t>
  </si>
  <si>
    <t>evidencia física</t>
  </si>
  <si>
    <t>..\Evidências\Domínio G\RESULTADO DAS AUDITORIAS OPERACIONAIS\Acompanhamento da implementação das determinações e recomendações</t>
  </si>
  <si>
    <t>O intercâmbio ocorreu por meio das auditorias coordenadas realizadas juntamente com o TCU.</t>
  </si>
  <si>
    <t>Matriz de achados, ferramentas de diagnóstico - Analise Swot Stakholders</t>
  </si>
  <si>
    <t>..\Evidências\Domínio F\FUNDAMENTOS DA AUDITORIA OPERACIONAL</t>
  </si>
  <si>
    <t xml:space="preserve">Na Diretoria de Engenharia e Perícia e Matérias Especiais a Coordenadoria de Fiscalização de Projetos Financiados por Instituições de Fomento  faz auditoria financeira.  </t>
  </si>
  <si>
    <t>Mantém vários acordos de compartilhamento de base de dados</t>
  </si>
  <si>
    <t>O Plano de auditoria é avaliado, em reuniões, pelo superior imediato sem necessidade de avaliação por escrito</t>
  </si>
  <si>
    <t xml:space="preserve">Os itens requeridos são atendidos pela Coordenadoria de Fiscalização de Projetos Financiados por Instituições de Fomento que tem competência de realizar auditorias em projetos financiados pelo BID e pelo BIRD e em seus procedimentos preenche todos os requisitos elencados. </t>
  </si>
  <si>
    <t xml:space="preserve">Existem sistemas de recebimento de informações, como por exemplo o caso de registro de aposentadorias consistidas como regulares, bem como nas consultas, o Sicom e o Siace-LRF. </t>
  </si>
  <si>
    <t>O Tribunal possui teto de R$ 35.000,00 para aplicação de multa. São aplicadas sanções, mas não diárias, preferencialmente.</t>
  </si>
  <si>
    <t>Contemplado no Sicom</t>
  </si>
  <si>
    <t>Usa a regulamentação do Estado (Decreto Estadual nº 44.786) e o Tribunal observa a Lei nas suas contratações</t>
  </si>
  <si>
    <t>Conforme pode ser verificado nos relatórios de inteligência e da malha</t>
  </si>
  <si>
    <t>Conforme atribuições da unidade que foi alçada a Diretoria, ver Resolução 02/2015</t>
  </si>
  <si>
    <t xml:space="preserve">Portaria 074-PRES-01 - Distribuição de Equipamentos e recursos de Informática; Portaria 075-PRES-12 - Procedimentos operacionais associados ao uso de Cert. Digital; Portaria 134-PRES-09 - Acesso a Internet e uso de correio eletrônico; Portaria 048-PRES-12 - Uso de plataforma de colaboração TCE Colaborativo. O Plano de Segurança da Informação está sendo desenvolvido através da Supervisão de Segurança Institucional da Informação, criada na Resolução 02/2015. </t>
  </si>
  <si>
    <t xml:space="preserve">Criada unidade específica, Supervisão de Segurança Institucional da Informação, subordinada a DTI, conforme Resolução 02/2015. O Plano de Segurança da Informação está sendo desenvolvido em consonância com o Plano Estratégico. atualização de solução de segurança por meio da utilização de sistema robusto de proteção anti-virus, anti spam, firewall para cada máquina individualmente (MCAFee). </t>
  </si>
  <si>
    <t>..\Evidências\Domínio E\CONTROLE EXTERNO CONCOMITANTE\Marco legal do controle concomitante</t>
  </si>
  <si>
    <t>http://sicomconsulta.tce.mg.gov.br/</t>
  </si>
  <si>
    <t>..\Evidências\Domínio E\INFORMAÇÕES ESTRATÉGICAS PARA O CONTROLE EXTERNO\Infraestrutura da unidade de informações estratégicas\Relatório Atividades Cursos Palestras Visitas técnicas(SURICATO).doc</t>
  </si>
  <si>
    <t>..\Evidências\Domínio E\INFORMAÇÕES ESTRATÉGICAS PARA O CONTROLE EXTERNO\Competências da unidade de informações estratégicas</t>
  </si>
  <si>
    <t xml:space="preserve">Para editais de concurso público, licitação, SIACE LRF, Geo-bras e Suricato.
</t>
  </si>
  <si>
    <t xml:space="preserve">Os servidores da unidade assinam termo de responsabilidade comprometendo-se a manter as informações acessadas por eles apenas no âmbito das atribuições funcionais do setor; acesso físico monitorado e restrito por meio de biometria e câmeras; quanto aos dados obtidos, tratados e aramazenados pelo TCEMG, há niveis de acesso de  forma compartimentada  e com soluções desejáveis de segurança da informação; as máquinas são fechadas por senha de acesso; utilização de sistema robusto de proteção anti-virus, anti spam, firewall para cada máquina individualmente (MCAFee). </t>
  </si>
  <si>
    <t xml:space="preserve">São lotados na unidade somente servidores efetivos; capacitação em listagem anexa; acesso aos sistemas corporativos e ao BI; a unidade possui infraestrutura e segurança de TI  necessárias ao desempenho das atividades(indicadas acima); e quando necessário utiliza-se a criptografia. </t>
  </si>
  <si>
    <t>Conforme relação de participação em cursos desde de 2010</t>
  </si>
  <si>
    <t xml:space="preserve">A atuação da Unidade gera resultados efetivos nas  ações de controle, tanto no nivel estratégico quanto no operacional. Como exemplo, a devolução de recursos por fornecedor de medicamentos ao poder público em razão de atuação/exercício da atividade especializada (processo nº 923.943); acolhimento pelo CONFAZ de sugestões da Unidade para melhoria efetiva nos campos da nota fiscal eletronica.  </t>
  </si>
  <si>
    <t>Quando solicitado e necessário</t>
  </si>
  <si>
    <t>São lotados na Unidade somente servidores efetivos, alguns com capacitação nos fundamentos da doutrina de inteligencia pela ABIN e outros (ver listagem).</t>
  </si>
  <si>
    <t>Oferta de capacitação dentro do TCE, pela Escola de Contas, e outros</t>
  </si>
  <si>
    <t>Para a tomada de contas especial.</t>
  </si>
  <si>
    <t xml:space="preserve">O Tribunal estabelece metas de deliberação, por ano e natureza de processo. Portaria n. 54/2015 </t>
  </si>
  <si>
    <t>O Tribunal estabelece metas de deliberação, por ano e natureza de processo. Portaria n. 54/2015, além de ações da APDO.</t>
  </si>
  <si>
    <t xml:space="preserve">Adota decisões monocráticas conforme Regimento Interno - Arts. 182-G (prescrição), 200, VI, 258 (atos de pessoal), 264, § 1º (medidas cautelares), 339, I-II (recurso)
</t>
  </si>
  <si>
    <t>Possui os normativos conforme destacamos IN n. 06/2013 (GEOOBRAS) ; IN n. 03/2011 (FISCAP ); IN n. 08/2009 (Edital de Concurso); IN n. 10/2011 (SICOM); DN n. 03/2014 (Envio de informações pelo SAFE pelos órgãos e entidades estaduais que não foram selecionados para prestar contas</t>
  </si>
  <si>
    <t>O núcleo de triagem, em parceria com as diretorias técnicas têm implementado ações iniciais nesse sentido, mas sem critérios objetivos.</t>
  </si>
  <si>
    <t>Os meios de comunicação tem sido aprimorados através da edição Resolução 10/10 - DOC; Folder atos de pessoal; Publicação do Inteiro teor do acordão no DOC; Disponibilização do PUSH</t>
  </si>
  <si>
    <t>O Tribunal realizou em 2007 um inventário físico dos processos; e em janeiro de 2014, inventário físico e eletrônico, utilizando as informações constantes do SGAP. Portaria 128/2013. Os inventários realizados foram gerais, não utilizando apenas os parâmetros citados, excluindo apenas processos eletrônicos, os arquivados e os que ja haviam sido inventariados pelo Ministério Público de Contas.
A partir de  2011 o Tribunal  implantou o Projeto Otimizar, com o objetivo de racionalizar a análise e contribuir para a redução do estoque. Em 2015, foi instituída a Coordenadoria para Otimização da Instrução Processual – OTIMIZAR (Art. 26 da Resolução 02/2015) . O Otimizar trabalha a partir do estudo do estoque por natureza, fase processual e ano de autuação.</t>
  </si>
  <si>
    <t>Módulos do SGAP que permitem esse controle, já em operação para a natureza Consulta e prestação de contas do Chefe do executivo. Em breve, será estendido a todas as naturezas. A forma de identificar não-conformidades e emitir alertas ainda está em estudo.</t>
  </si>
  <si>
    <t>Utilização da matriz de risco (Resolução 14/2012) e está prevista iniciativa estratégica no Plano Estratégico 2015-2019.</t>
  </si>
  <si>
    <t xml:space="preserve">Está previsto no Plano Estratégico 2015-2019. Também foi instituído, em 2012, o Projeto Quali, e criado o Escritório de Processos, para implantação da metodologia BPM de gerenciamento de processos, o que inclui o estabelecimento de prazos. </t>
  </si>
  <si>
    <t xml:space="preserve">Regimento Interno, art. 3º, XVI e XXXI ; IN n. 06/2013 (GEOOBRAS) ;  IN n. 08/2009 (Edital de Concurso); IN n. 10/2011 (SICOM); Res. 02/2015, art. 36 (CFECP), art. 39 (CFEL). </t>
  </si>
  <si>
    <t xml:space="preserve">Regimento Interno, art. 3º, XX, art. 19, XXIV, art. 35, XII, art. 37, IV, art. 55, parágrafo único, art. 83 e seguintes, art. 93-A (TAG), art. 95 e seguintes </t>
  </si>
  <si>
    <t xml:space="preserve">No TCEMG, os recursos são autuados em processo próprio - mas imediatamente apensados ao principal (ou "piloto") sendo atribuído efeito suspensivo automático (vide artigos 334 e 349 do RITCEMG que tratam respectivamente de Recurso ordinário e de Pedido de Reexame em Prestação de Contas), exceto para a natureza AGRAVO, em que o processo é independente, não apensado, e só tem efeito suspensivo caso atribuído pelo RELATOR (art.337, paragrafo único do RITCEMG).
</t>
  </si>
  <si>
    <t xml:space="preserve">Para editais de concurso público e licitação.
</t>
  </si>
  <si>
    <t xml:space="preserve">Foi criado Grupo de Trabalho - Portaria n. 102/Pres./2013 com o objetivo de definir rotinas fiscalizatórias das compras públicas, com base na Lei Complementar n. 123/2006. À época foi realizada pesquisa eletrônica sobre adoção da Lei Complementar 123/2006 pelos jurisdicionados. O Tribunal realiza ações de fomento em parceria com o SEBRAE. </t>
  </si>
  <si>
    <t>Existe divulgação de informações sobre as compras públicas com as microempresas e empresas de pequeno porte no Fiscalizando com o TCE.</t>
  </si>
  <si>
    <t>Está previsto no Plano Estratégico 2015-2019 o objetivo aprimorar o planejamento das ações de fiscalização, com base em critérios institucionais de seletividade e no benefício do controle.</t>
  </si>
  <si>
    <t>O Tribunal não divulga os relatórios de auditoria antes da deliberação. Quando há solicitação de informações relativas a processos de controle externo em andamento, a informação será fornecida após apresentação da defesa, mediante despacho do relator. Art. 11 da Resolução n. 12/2014.</t>
  </si>
  <si>
    <t>Pelo Portal.</t>
  </si>
  <si>
    <t>Analise Stakeholders.</t>
  </si>
  <si>
    <t>Os temas são significativos. A escolha dos temas surge por demanda do Conselho, sugestões da própria coordenadoria de auditora operacional, com base  nos  levantamentos feitos no portfolio de programas governamentais do Estado e acordos de cooperação com o TCU (auditorias coordenadas).</t>
  </si>
  <si>
    <t>O TC emitiu relatório de auditorias de Educação, Saúde e Meio Ambiente.</t>
  </si>
  <si>
    <t xml:space="preserve">Folders. </t>
  </si>
  <si>
    <t>Plano de ação - Saneamento, Travessia, Farmácia de Minas.</t>
  </si>
  <si>
    <t>Relatório Parcial de monitoramento.</t>
  </si>
  <si>
    <t xml:space="preserve">A Coordenadoria de Fiscalização de Projetos Financiados por Instituições de Fomento possui a atribuição de acompanhar a implementação das determinações e recomendações das auditorias financeiras. </t>
  </si>
  <si>
    <t>Segue todas as regras do Manual de Auditoria Operacional do TCU.</t>
  </si>
  <si>
    <t>Foi realizada auditoria de meio ambiente - Unidades de Conservação de Proteção Integral.</t>
  </si>
  <si>
    <t>Adota o Manual de Auditoria Operacional do TCU.</t>
  </si>
  <si>
    <t>Realiza os procedimentos conforme Manual de Auditoria Operacional do TCU.</t>
  </si>
  <si>
    <t>Relatório de auditoria em meio ambiente e Folders.</t>
  </si>
  <si>
    <t>Cumpre o solicitado de acordo com informações do relatório.</t>
  </si>
  <si>
    <t>A metodologia observa o disposto na Resolução nº 14/2012 - Institui a Matriz de Risco do TCEMG.</t>
  </si>
  <si>
    <t>Exemplo de Ordem de Serviço contendo metas quadrimestrais (Anexo II OS 13/2012).</t>
  </si>
  <si>
    <t>Apêndice B do Manual de Auditoria do TCEMG.</t>
  </si>
  <si>
    <t xml:space="preserve">Cronograma de auditoria. </t>
  </si>
  <si>
    <t>Prevê nas Auditorias Operacionais.</t>
  </si>
  <si>
    <t>Relatório Farmácia de Minas.</t>
  </si>
  <si>
    <t>São realizadas reuniões - SWOT validada pelo auditado. - Entrevista.</t>
  </si>
  <si>
    <t>Sim, conforme as evidências disponíveis no arquivo eletrônico de evidências.</t>
  </si>
  <si>
    <t>Matriz de Achados e relatório - Farmácia de Minas.</t>
  </si>
  <si>
    <t>Matriz de planejamento, ferramentas de diagnóstico - Analise Swot Stakholders, Matriz de Achados, questionários, entrevista.</t>
  </si>
  <si>
    <t>Todos os componentes da equipe procedem à leitura do relatório e depois se reúnem para discussão sobre cada tópico.</t>
  </si>
  <si>
    <t>Servidores novos na Coordenadoria necessitam de capacitação em métodos de pesquisas, métodos aplicados nas ciências sociais e de investigação e avaliação. A equipe teve muita capacitação até 2012. Depois houve uma redução progressiva.  2014 houve algumas capacitações e em 2015 nenhuma. Existem servidores que não tiveram nenhuma capacitação até a data atual.</t>
  </si>
  <si>
    <r>
      <t xml:space="preserve">Não há um programa permanente de capacitação de líderes, entretanto, ocorreu, como parte integrante do Programa </t>
    </r>
    <r>
      <rPr>
        <i/>
        <sz val="9"/>
        <rFont val="Tahoma"/>
        <family val="2"/>
      </rPr>
      <t>"Repensando o Tribunal",</t>
    </r>
    <r>
      <rPr>
        <sz val="9"/>
        <rFont val="Tahoma"/>
        <family val="2"/>
      </rPr>
      <t xml:space="preserve"> o encontro </t>
    </r>
    <r>
      <rPr>
        <i/>
        <sz val="9"/>
        <rFont val="Tahoma"/>
        <family val="2"/>
      </rPr>
      <t>“O Olhar do Gestor”</t>
    </r>
    <r>
      <rPr>
        <sz val="9"/>
        <rFont val="Tahoma"/>
        <family val="2"/>
      </rPr>
      <t>, que treinou 110 líderes do TCE, em Araxá, no período compreendido entre 18 e 20 de novembro de 2011 (vide pasta de evidências).
Da mesma forma, em cumprimento ao Plano Estratégico do Tribunal 2010-2014, ocorreu a</t>
    </r>
    <r>
      <rPr>
        <i/>
        <sz val="9"/>
        <rFont val="Tahoma"/>
        <family val="2"/>
      </rPr>
      <t xml:space="preserve"> “Semana de Capacitação dos Gestores do TCEMG”</t>
    </r>
    <r>
      <rPr>
        <sz val="9"/>
        <rFont val="Tahoma"/>
        <family val="2"/>
      </rPr>
      <t>, em que os líderes receberam treinamento nos dias 20, 22 e 24 de maio de 2013 na Fundação João Pinheiro e participaram de palestras no Auditório Vivaldi Moreira no dia 23 de maio de 2013. 
A Coordenadoria de Desenvolvimento de Pessoal/DGP elaborou o Projeto denominado Gestores em Ação, que tem como foco principal buscar maior integração, alinhamento e comunicação com as diversas áreas do Tribunal, estreitar relações entre a DGP e os gestores e entre os próprios gestores; estimular a troca de experiência, bem como soluções conjuntas para questões comuns a toda a equipe gerencial.
(vide pasta de evidências).</t>
    </r>
  </si>
  <si>
    <r>
      <t xml:space="preserve">Nas Semanas do Servidor de 2013 e 2014, como ação de reconhecimento funcional, ocorreu a premiação denominada </t>
    </r>
    <r>
      <rPr>
        <i/>
        <sz val="9"/>
        <rFont val="Tahoma"/>
        <family val="2"/>
      </rPr>
      <t>"Destaques do Ano",</t>
    </r>
    <r>
      <rPr>
        <sz val="9"/>
        <rFont val="Tahoma"/>
        <family val="2"/>
      </rPr>
      <t xml:space="preserve"> em que foram homenageados os servidores </t>
    </r>
    <r>
      <rPr>
        <i/>
        <sz val="9"/>
        <rFont val="Tahoma"/>
        <family val="2"/>
      </rPr>
      <t>"Destaque em Competência Técnica"</t>
    </r>
    <r>
      <rPr>
        <sz val="9"/>
        <rFont val="Tahoma"/>
        <family val="2"/>
      </rPr>
      <t xml:space="preserve">, </t>
    </r>
    <r>
      <rPr>
        <i/>
        <sz val="9"/>
        <rFont val="Tahoma"/>
        <family val="2"/>
      </rPr>
      <t>"Destaque em Competência Humana"</t>
    </r>
    <r>
      <rPr>
        <sz val="9"/>
        <rFont val="Tahoma"/>
        <family val="2"/>
      </rPr>
      <t xml:space="preserve"> e </t>
    </r>
    <r>
      <rPr>
        <i/>
        <sz val="9"/>
        <rFont val="Tahoma"/>
        <family val="2"/>
      </rPr>
      <t>"Destaque em Competência Gerencial"</t>
    </r>
    <r>
      <rPr>
        <sz val="9"/>
        <rFont val="Tahoma"/>
        <family val="2"/>
      </rPr>
      <t xml:space="preserve"> 
Preparando a Semana do Servidor de 2015, foi lançado o </t>
    </r>
    <r>
      <rPr>
        <i/>
        <sz val="9"/>
        <rFont val="Tahoma"/>
        <family val="2"/>
      </rPr>
      <t>"Projeto Inovar"</t>
    </r>
    <r>
      <rPr>
        <sz val="9"/>
        <rFont val="Tahoma"/>
        <family val="2"/>
      </rPr>
      <t>, visando premiar servidores e funcionários do TCEMG em concurso de projetos que devem estar alinhados aos objetivos institucionais do TCEMG e ser inscritos de acordo com a descrição de quatro categorias estabelecidas no Plano Estratégico 2015-2019, aprovado pela Resolução 27/2014: “resultados para a sociedade”, “processos internos”, “pessoas, aprendizado e inovação” e “gestão financeira, orçamentária e patrimonial”.
(vide pasta de evidências).</t>
    </r>
  </si>
  <si>
    <t xml:space="preserve">Inciso II do art. 8º da Lei Complementar n. 102, de 17/01/2008 - Lei Orgânica do Tribunal de Contas do Estado de Minas Gerais (vide pasta de evidências).
Inciso II do § 1º, do art. 78 da Constituição do Estado de Minas Gerais (vide pasta de evidências). </t>
  </si>
  <si>
    <t>O novo Plano Estratégico dá continuidade ao processo de planejamento iniciado em 2004, quando foi realizado o 1º Plano, vigente no período de 2004 a 2008 e ao segundo que compreendeu o período de 2010 a 2014.</t>
  </si>
  <si>
    <t xml:space="preserve">É utilizada a matriz de risco para planejamento das ações do Tribunal. Além disso, consta do Plano Estratégico do TCEMG, o objetivo estratégico de  "aprimorar o planejamento das ações de fiscalização, com base em critérios institucionais de seletividade e no benefício do controle". </t>
  </si>
  <si>
    <r>
      <t xml:space="preserve">Participação em eventos sobre o tema, seminários etc. Reunião com especialistas da área - Matriz de planejamento, ferramentas de diagnóstico </t>
    </r>
    <r>
      <rPr>
        <sz val="9"/>
        <rFont val="Tahoma"/>
        <family val="2"/>
      </rPr>
      <t>(Manual de Auditoria do TCEMG - Manual de Auditoria operacional do TCU).</t>
    </r>
  </si>
  <si>
    <t xml:space="preserve">Existe previsão de agrupamento em bloco para os processos de atos de pessoal  e para processos que versem sobre a mesma questão (Regimento Interno do TCEMG art. 91) </t>
  </si>
  <si>
    <t>A Controladoria Interna funciona no 6º andar do Edifício Anexo e possui estrutura física e recursos materiais suficientes para a execução dos seus trabalhos</t>
  </si>
  <si>
    <t>Todos os auditores são especialistas em Controle Externo (PUC e a partir de 2014 o próprio Tribunal) e outros cursos</t>
  </si>
  <si>
    <t xml:space="preserve">Manual de Auditoria do TCEMG (Resolução 02/2013) -   O TCEMG aplica, subsidiariamente, o disposto no Manual de Auditoria Operacional e os roteiros e orientações pertinentes às técnicas, elaboração de relatórios e controle de qualidade do Tribunal de Contas da União. </t>
  </si>
  <si>
    <t>..\Evidências\Domínio D\GESTÃO DE PESSOAS\Política de saúde e qualidade de vida no trabalho\Item d</t>
  </si>
  <si>
    <t>http://www.tce.mg.gov.br/index.asp?cod_secao=1INX&amp;tipo=1&amp;url=&amp;cod_secao_menu=5K</t>
  </si>
  <si>
    <t>x</t>
  </si>
  <si>
    <t xml:space="preserve">Ver Ordem de Serviço 16/2013, que estabeleceu o Plano de Diretrizes para 2013 e 2014. Este Plano foi desdobrado em Planos Diretores. Para o acompanhamento do Objetivo Estratégico N. 4: Racionalizar a geração, reduzir o número e conferir maior celeridade à tramitação de processos, que previu indicadores relacionados à meta de deliberação em processos, foi realizado procedimento específico, em função da complexidade dessa ação. Este objetivo foi o foco prioritário da gestão 2013-2014. Ver exemplo de arquivo referente ao acompanhamento de metas de deliberação de processos. </t>
  </si>
  <si>
    <t>O acompanhamento individualizado começou a ser realizado em outubro/2015, durante a Semana do Servidor, com aferição de glicemia, pressão arterial, circunferência abdominal e peso, para identificação e acompanhamento daqueles que se encontram em situação de risco.</t>
  </si>
  <si>
    <r>
      <t xml:space="preserve">É realizado o </t>
    </r>
    <r>
      <rPr>
        <i/>
        <sz val="9"/>
        <rFont val="Tahoma"/>
        <family val="2"/>
      </rPr>
      <t>"PAR - Programa Aprendendo a Recomeçar"</t>
    </r>
    <r>
      <rPr>
        <sz val="9"/>
        <rFont val="Tahoma"/>
        <family val="2"/>
      </rPr>
      <t>, desenvolvido pela Coordenadoria de Desenvolvimento de Pessoal, tendo ocorrido até então duas edições, a primeira realizada de 22/03 a 19/09/2013 e a segunda realizada de 27/02 a 21/08/2014 (vide pasta de evidências).
A política de desligamento está prevista no item 3.10 do anexo da Resolução n. 09, de 23/06/2010 (vide pasta de evidências).</t>
    </r>
  </si>
</sst>
</file>

<file path=xl/styles.xml><?xml version="1.0" encoding="utf-8"?>
<styleSheet xmlns="http://schemas.openxmlformats.org/spreadsheetml/2006/main">
  <numFmts count="3">
    <numFmt numFmtId="164" formatCode="_-* #,##0.00_-;\-* #,##0.00_-;_-* &quot;-&quot;??_-;_-@"/>
    <numFmt numFmtId="165" formatCode="0.0"/>
    <numFmt numFmtId="166" formatCode="dd/mm/yy"/>
  </numFmts>
  <fonts count="85">
    <font>
      <sz val="10"/>
      <color rgb="FF000000"/>
      <name val="Arial"/>
    </font>
    <font>
      <sz val="9"/>
      <color rgb="FF000000"/>
      <name val="Calibri"/>
      <family val="2"/>
    </font>
    <font>
      <b/>
      <sz val="12"/>
      <name val="Arial"/>
      <family val="2"/>
    </font>
    <font>
      <b/>
      <sz val="12"/>
      <color rgb="FFFFFFFF"/>
      <name val="Arial"/>
      <family val="2"/>
    </font>
    <font>
      <b/>
      <sz val="11"/>
      <color rgb="FFFFFFFF"/>
      <name val="Arial"/>
      <family val="2"/>
    </font>
    <font>
      <sz val="11"/>
      <color rgb="FFFFFFFF"/>
      <name val="Calibri"/>
      <family val="2"/>
    </font>
    <font>
      <sz val="9"/>
      <name val="Arial"/>
      <family val="2"/>
    </font>
    <font>
      <b/>
      <sz val="14"/>
      <name val="Arial"/>
      <family val="2"/>
    </font>
    <font>
      <b/>
      <sz val="10"/>
      <color rgb="FF000000"/>
      <name val="Arial Narrow"/>
      <family val="2"/>
    </font>
    <font>
      <sz val="8"/>
      <name val="Arial"/>
      <family val="2"/>
    </font>
    <font>
      <b/>
      <sz val="8"/>
      <color rgb="FF000000"/>
      <name val="Arial Narrow"/>
      <family val="2"/>
    </font>
    <font>
      <sz val="10"/>
      <name val="Arial"/>
      <family val="2"/>
    </font>
    <font>
      <b/>
      <sz val="9"/>
      <name val="Arial Narrow"/>
      <family val="2"/>
    </font>
    <font>
      <b/>
      <sz val="9"/>
      <name val="Arial"/>
      <family val="2"/>
    </font>
    <font>
      <b/>
      <sz val="6"/>
      <name val="Arial"/>
      <family val="2"/>
    </font>
    <font>
      <b/>
      <sz val="9"/>
      <color rgb="FFCCFFCC"/>
      <name val="Arial"/>
      <family val="2"/>
    </font>
    <font>
      <b/>
      <sz val="9"/>
      <name val="Kartika"/>
      <family val="1"/>
    </font>
    <font>
      <b/>
      <sz val="9"/>
      <color rgb="FF000000"/>
      <name val="Tahoma"/>
      <family val="2"/>
    </font>
    <font>
      <sz val="9"/>
      <color rgb="FF000000"/>
      <name val="Tahoma"/>
      <family val="2"/>
    </font>
    <font>
      <b/>
      <sz val="8"/>
      <name val="Arial"/>
      <family val="2"/>
    </font>
    <font>
      <b/>
      <sz val="14"/>
      <color rgb="FF000000"/>
      <name val="Arial"/>
      <family val="2"/>
    </font>
    <font>
      <b/>
      <sz val="16"/>
      <name val="Arial"/>
      <family val="2"/>
    </font>
    <font>
      <b/>
      <sz val="12"/>
      <name val="Kartika"/>
      <family val="1"/>
    </font>
    <font>
      <b/>
      <sz val="12"/>
      <color rgb="FF000000"/>
      <name val="Tahoma"/>
      <family val="2"/>
    </font>
    <font>
      <b/>
      <sz val="11"/>
      <name val="Arial"/>
      <family val="2"/>
    </font>
    <font>
      <b/>
      <sz val="9"/>
      <name val="Tahoma"/>
      <family val="2"/>
    </font>
    <font>
      <b/>
      <sz val="9"/>
      <color rgb="FFB7B7B7"/>
      <name val="Arial"/>
      <family val="2"/>
    </font>
    <font>
      <b/>
      <sz val="7"/>
      <name val="Arial"/>
      <family val="2"/>
    </font>
    <font>
      <b/>
      <sz val="9"/>
      <color rgb="FF000000"/>
      <name val="Arial"/>
      <family val="2"/>
    </font>
    <font>
      <b/>
      <sz val="10"/>
      <name val="Arial"/>
      <family val="2"/>
    </font>
    <font>
      <b/>
      <sz val="9"/>
      <name val="Arial"/>
      <family val="2"/>
    </font>
    <font>
      <b/>
      <sz val="10"/>
      <color rgb="FFFFFFFF"/>
      <name val="Arial"/>
      <family val="2"/>
    </font>
    <font>
      <b/>
      <sz val="9"/>
      <color rgb="FF000000"/>
      <name val="Arial Narrow"/>
      <family val="2"/>
    </font>
    <font>
      <b/>
      <sz val="11"/>
      <color rgb="FF000000"/>
      <name val="Tahoma"/>
      <family val="2"/>
    </font>
    <font>
      <sz val="12"/>
      <name val="Arial"/>
      <family val="2"/>
    </font>
    <font>
      <b/>
      <sz val="10"/>
      <name val="Kartika"/>
      <family val="1"/>
    </font>
    <font>
      <b/>
      <sz val="8"/>
      <name val="Kartika"/>
      <family val="1"/>
    </font>
    <font>
      <b/>
      <sz val="7"/>
      <name val="Kartika"/>
      <family val="1"/>
    </font>
    <font>
      <b/>
      <sz val="7"/>
      <name val="Arial Black"/>
      <family val="2"/>
    </font>
    <font>
      <b/>
      <sz val="7"/>
      <color rgb="FF000000"/>
      <name val="Arial Narrow"/>
      <family val="2"/>
    </font>
    <font>
      <sz val="7"/>
      <name val="Kartika"/>
      <family val="1"/>
    </font>
    <font>
      <sz val="7"/>
      <name val="Arial Black"/>
      <family val="2"/>
    </font>
    <font>
      <sz val="7"/>
      <name val="Arial"/>
      <family val="2"/>
    </font>
    <font>
      <b/>
      <sz val="8"/>
      <color rgb="FFFF0000"/>
      <name val="Arial"/>
      <family val="2"/>
    </font>
    <font>
      <sz val="12"/>
      <color rgb="FF000000"/>
      <name val="Calibri"/>
      <family val="2"/>
    </font>
    <font>
      <sz val="10"/>
      <color rgb="FF000000"/>
      <name val="Calibri"/>
      <family val="2"/>
    </font>
    <font>
      <sz val="9"/>
      <name val="Tahoma"/>
      <family val="2"/>
    </font>
    <font>
      <b/>
      <sz val="5"/>
      <name val="Arial"/>
      <family val="2"/>
    </font>
    <font>
      <sz val="9"/>
      <color rgb="FF000000"/>
      <name val="Times New Roman"/>
      <family val="1"/>
    </font>
    <font>
      <sz val="11"/>
      <color rgb="FF000000"/>
      <name val="Calibri"/>
      <family val="2"/>
    </font>
    <font>
      <sz val="9"/>
      <color rgb="FF000000"/>
      <name val="Arial"/>
      <family val="2"/>
    </font>
    <font>
      <b/>
      <sz val="12"/>
      <color rgb="FF000000"/>
      <name val="Calibri"/>
      <family val="2"/>
    </font>
    <font>
      <sz val="10"/>
      <name val="Arial"/>
      <family val="2"/>
    </font>
    <font>
      <b/>
      <sz val="20"/>
      <name val="Arial"/>
      <family val="2"/>
    </font>
    <font>
      <sz val="10"/>
      <name val="Arial"/>
      <family val="2"/>
    </font>
    <font>
      <sz val="9"/>
      <color rgb="FF000000"/>
      <name val="Tahoma"/>
      <family val="2"/>
    </font>
    <font>
      <b/>
      <sz val="9"/>
      <name val="Tahoma"/>
      <family val="2"/>
    </font>
    <font>
      <sz val="9"/>
      <name val="Tahoma"/>
      <family val="2"/>
    </font>
    <font>
      <b/>
      <sz val="7"/>
      <name val="Arial"/>
      <family val="2"/>
    </font>
    <font>
      <b/>
      <sz val="9"/>
      <color rgb="FF000000"/>
      <name val="Tahoma"/>
      <family val="2"/>
    </font>
    <font>
      <u/>
      <sz val="10"/>
      <color theme="10"/>
      <name val="Arial"/>
      <family val="2"/>
    </font>
    <font>
      <sz val="9"/>
      <color rgb="FFFF0000"/>
      <name val="Tahoma"/>
      <family val="2"/>
    </font>
    <font>
      <u/>
      <sz val="10"/>
      <color theme="10"/>
      <name val="Arial"/>
      <family val="2"/>
    </font>
    <font>
      <i/>
      <sz val="9"/>
      <color rgb="FF000000"/>
      <name val="Tahoma"/>
      <family val="2"/>
    </font>
    <font>
      <i/>
      <sz val="9"/>
      <name val="Tahoma"/>
      <family val="2"/>
    </font>
    <font>
      <u/>
      <sz val="16"/>
      <color theme="10"/>
      <name val="Arial"/>
      <family val="2"/>
    </font>
    <font>
      <u/>
      <sz val="9"/>
      <color theme="10"/>
      <name val="Tahoma"/>
      <family val="2"/>
    </font>
    <font>
      <sz val="9"/>
      <color rgb="FF000000"/>
      <name val="Calibri"/>
      <family val="2"/>
    </font>
    <font>
      <sz val="9"/>
      <name val="Arial"/>
      <family val="2"/>
    </font>
    <font>
      <b/>
      <sz val="9"/>
      <name val="Arial"/>
      <family val="2"/>
    </font>
    <font>
      <sz val="9"/>
      <color rgb="FF333333"/>
      <name val="Tahoma"/>
      <family val="2"/>
    </font>
    <font>
      <sz val="10"/>
      <color rgb="FF000000"/>
      <name val="Arial"/>
      <family val="2"/>
    </font>
    <font>
      <sz val="9"/>
      <color theme="1"/>
      <name val="Tahoma"/>
      <family val="2"/>
    </font>
    <font>
      <b/>
      <sz val="10"/>
      <color rgb="FF000000"/>
      <name val="Arial Narrow"/>
      <family val="2"/>
    </font>
    <font>
      <sz val="10"/>
      <color rgb="FF000000"/>
      <name val="Segoe UI"/>
      <family val="2"/>
    </font>
    <font>
      <sz val="11"/>
      <color rgb="FF000000"/>
      <name val="Calibri"/>
      <family val="2"/>
    </font>
    <font>
      <b/>
      <sz val="14"/>
      <name val="Arial"/>
      <family val="2"/>
    </font>
    <font>
      <b/>
      <sz val="14"/>
      <color rgb="FFCCFFCC"/>
      <name val="Arial"/>
      <family val="2"/>
    </font>
    <font>
      <u/>
      <sz val="9"/>
      <color theme="10"/>
      <name val="Arial"/>
      <family val="2"/>
    </font>
    <font>
      <b/>
      <sz val="9"/>
      <name val="Kartika"/>
      <family val="1"/>
    </font>
    <font>
      <sz val="9"/>
      <color theme="0"/>
      <name val="Tahoma"/>
      <family val="2"/>
    </font>
    <font>
      <b/>
      <sz val="9"/>
      <color rgb="FFCCFFCC"/>
      <name val="Arial"/>
      <family val="2"/>
    </font>
    <font>
      <b/>
      <sz val="9"/>
      <color rgb="FFFF0000"/>
      <name val="Arial"/>
      <family val="2"/>
    </font>
    <font>
      <b/>
      <sz val="9"/>
      <name val="Arial Narrow"/>
      <family val="2"/>
    </font>
    <font>
      <sz val="9"/>
      <color rgb="FF000000"/>
      <name val="Arial"/>
      <family val="2"/>
    </font>
  </fonts>
  <fills count="18">
    <fill>
      <patternFill patternType="none"/>
    </fill>
    <fill>
      <patternFill patternType="gray125"/>
    </fill>
    <fill>
      <patternFill patternType="solid">
        <fgColor rgb="FF51C1B7"/>
        <bgColor rgb="FF51C1B7"/>
      </patternFill>
    </fill>
    <fill>
      <patternFill patternType="solid">
        <fgColor rgb="FFFBD105"/>
        <bgColor rgb="FFFBD105"/>
      </patternFill>
    </fill>
    <fill>
      <patternFill patternType="solid">
        <fgColor rgb="FF99CCFF"/>
        <bgColor rgb="FF99CCFF"/>
      </patternFill>
    </fill>
    <fill>
      <patternFill patternType="solid">
        <fgColor rgb="FFCCFFCC"/>
        <bgColor rgb="FFCCFFCC"/>
      </patternFill>
    </fill>
    <fill>
      <patternFill patternType="solid">
        <fgColor rgb="FF993300"/>
        <bgColor rgb="FF993300"/>
      </patternFill>
    </fill>
    <fill>
      <patternFill patternType="solid">
        <fgColor rgb="FFFFFFFF"/>
        <bgColor rgb="FFFFFFFF"/>
      </patternFill>
    </fill>
    <fill>
      <patternFill patternType="solid">
        <fgColor rgb="FFC0C0C0"/>
        <bgColor rgb="FFC0C0C0"/>
      </patternFill>
    </fill>
    <fill>
      <patternFill patternType="solid">
        <fgColor rgb="FFB7B7B7"/>
        <bgColor rgb="FFB7B7B7"/>
      </patternFill>
    </fill>
    <fill>
      <patternFill patternType="solid">
        <fgColor rgb="FFFFFF99"/>
        <bgColor rgb="FFFFFF99"/>
      </patternFill>
    </fill>
    <fill>
      <patternFill patternType="solid">
        <fgColor rgb="FF4A86E8"/>
        <bgColor rgb="FF4A86E8"/>
      </patternFill>
    </fill>
    <fill>
      <patternFill patternType="solid">
        <fgColor rgb="FFCC4125"/>
        <bgColor rgb="FFCC4125"/>
      </patternFill>
    </fill>
    <fill>
      <patternFill patternType="solid">
        <fgColor rgb="FF00FF00"/>
        <bgColor rgb="FF00FF00"/>
      </patternFill>
    </fill>
    <fill>
      <patternFill patternType="solid">
        <fgColor rgb="FF969696"/>
        <bgColor rgb="FF969696"/>
      </patternFill>
    </fill>
    <fill>
      <patternFill patternType="solid">
        <fgColor rgb="FFBFBFBF"/>
        <bgColor rgb="FFBFBFBF"/>
      </patternFill>
    </fill>
    <fill>
      <patternFill patternType="solid">
        <fgColor theme="0"/>
        <bgColor indexed="64"/>
      </patternFill>
    </fill>
    <fill>
      <patternFill patternType="solid">
        <fgColor theme="0"/>
        <bgColor rgb="FFFFFF99"/>
      </patternFill>
    </fill>
  </fills>
  <borders count="36">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top style="thin">
        <color rgb="FF000000"/>
      </top>
      <bottom/>
      <diagonal/>
    </border>
    <border>
      <left/>
      <right/>
      <top style="thin">
        <color rgb="FF000000"/>
      </top>
      <bottom/>
      <diagonal/>
    </border>
    <border>
      <left/>
      <right style="thin">
        <color rgb="FF000000"/>
      </right>
      <top/>
      <bottom/>
      <diagonal/>
    </border>
    <border>
      <left style="thin">
        <color rgb="FF000000"/>
      </left>
      <right/>
      <top/>
      <bottom/>
      <diagonal/>
    </border>
    <border>
      <left style="thin">
        <color rgb="FF000000"/>
      </left>
      <right/>
      <top/>
      <bottom style="thin">
        <color rgb="FF000000"/>
      </bottom>
      <diagonal/>
    </border>
    <border>
      <left/>
      <right style="thin">
        <color rgb="FF000000"/>
      </right>
      <top style="thin">
        <color rgb="FF000000"/>
      </top>
      <bottom/>
      <diagonal/>
    </border>
    <border>
      <left style="medium">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diagonal/>
    </border>
    <border>
      <left/>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thin">
        <color rgb="FF000000"/>
      </right>
      <top/>
      <bottom/>
      <diagonal/>
    </border>
    <border>
      <left style="thin">
        <color rgb="FF000000"/>
      </left>
      <right style="medium">
        <color rgb="FF000000"/>
      </right>
      <top style="thin">
        <color rgb="FF000000"/>
      </top>
      <bottom style="thin">
        <color rgb="FF000000"/>
      </bottom>
      <diagonal/>
    </border>
    <border>
      <left style="thin">
        <color rgb="FF000000"/>
      </left>
      <right style="medium">
        <color rgb="FF000000"/>
      </right>
      <top/>
      <bottom style="thin">
        <color rgb="FF000000"/>
      </bottom>
      <diagonal/>
    </border>
    <border>
      <left/>
      <right style="medium">
        <color rgb="FF000000"/>
      </right>
      <top/>
      <bottom/>
      <diagonal/>
    </border>
    <border>
      <left/>
      <right style="thin">
        <color rgb="FFFFFFFF"/>
      </right>
      <top style="thin">
        <color rgb="FF000000"/>
      </top>
      <bottom style="thin">
        <color rgb="FF000000"/>
      </bottom>
      <diagonal/>
    </border>
    <border>
      <left style="thin">
        <color rgb="FFFFFFFF"/>
      </left>
      <right style="thin">
        <color rgb="FFFFFFFF"/>
      </right>
      <top style="thin">
        <color rgb="FF000000"/>
      </top>
      <bottom style="thin">
        <color rgb="FF000000"/>
      </bottom>
      <diagonal/>
    </border>
    <border>
      <left style="thin">
        <color rgb="FFFFFFFF"/>
      </left>
      <right/>
      <top style="thin">
        <color rgb="FF000000"/>
      </top>
      <bottom style="thin">
        <color rgb="FF000000"/>
      </bottom>
      <diagonal/>
    </border>
    <border>
      <left style="thin">
        <color rgb="FF000000"/>
      </left>
      <right style="thin">
        <color rgb="FFFFFFFF"/>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indexed="64"/>
      </bottom>
      <diagonal/>
    </border>
    <border>
      <left style="thin">
        <color indexed="64"/>
      </left>
      <right style="thin">
        <color rgb="FF000000"/>
      </right>
      <top style="thin">
        <color rgb="FF000000"/>
      </top>
      <bottom style="thin">
        <color rgb="FF000000"/>
      </bottom>
      <diagonal/>
    </border>
    <border>
      <left style="thin">
        <color indexed="64"/>
      </left>
      <right/>
      <top/>
      <bottom/>
      <diagonal/>
    </border>
  </borders>
  <cellStyleXfs count="294">
    <xf numFmtId="0" fontId="0" fillId="0" borderId="0"/>
    <xf numFmtId="0" fontId="11" fillId="0" borderId="0"/>
    <xf numFmtId="0" fontId="54" fillId="0" borderId="0"/>
    <xf numFmtId="0" fontId="11" fillId="0" borderId="0"/>
    <xf numFmtId="0" fontId="54" fillId="0" borderId="0"/>
    <xf numFmtId="0" fontId="60" fillId="0" borderId="0" applyNumberForma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62" fillId="0" borderId="0" applyNumberFormat="0" applyFill="0" applyBorder="0" applyAlignment="0" applyProtection="0"/>
    <xf numFmtId="0" fontId="11" fillId="0" borderId="0"/>
    <xf numFmtId="0" fontId="11" fillId="0" borderId="0"/>
    <xf numFmtId="0" fontId="11" fillId="0" borderId="0"/>
    <xf numFmtId="0" fontId="60" fillId="0" borderId="0" applyNumberFormat="0" applyFill="0" applyBorder="0" applyAlignment="0" applyProtection="0">
      <alignment vertical="top"/>
      <protection locked="0"/>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62" fillId="0" borderId="0" applyNumberFormat="0" applyFill="0" applyBorder="0" applyAlignment="0" applyProtection="0">
      <alignment vertical="top"/>
      <protection locked="0"/>
    </xf>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65" fillId="0" borderId="0" applyNumberFormat="0" applyFill="0" applyBorder="0" applyAlignment="0" applyProtection="0">
      <alignment vertical="top"/>
      <protection locked="0"/>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cellStyleXfs>
  <cellXfs count="617">
    <xf numFmtId="0" fontId="0" fillId="0" borderId="0" xfId="0" applyFont="1" applyAlignment="1"/>
    <xf numFmtId="0" fontId="1" fillId="0" borderId="0" xfId="0" applyFont="1" applyAlignment="1">
      <alignment horizontal="center" vertical="center"/>
    </xf>
    <xf numFmtId="0" fontId="1" fillId="0" borderId="0" xfId="0" applyFont="1" applyAlignment="1">
      <alignment vertical="center"/>
    </xf>
    <xf numFmtId="0" fontId="3" fillId="2" borderId="0" xfId="0" applyFont="1" applyFill="1" applyAlignment="1">
      <alignment horizontal="center" vertical="center" wrapText="1"/>
    </xf>
    <xf numFmtId="0" fontId="3" fillId="2" borderId="0" xfId="0" applyFont="1" applyFill="1" applyAlignment="1">
      <alignment horizontal="center" vertical="center" wrapText="1"/>
    </xf>
    <xf numFmtId="0" fontId="3" fillId="2" borderId="0" xfId="0" applyFont="1" applyFill="1" applyAlignment="1">
      <alignment vertical="center" wrapText="1"/>
    </xf>
    <xf numFmtId="0" fontId="5" fillId="2" borderId="0" xfId="0" applyFont="1" applyFill="1" applyAlignment="1">
      <alignment vertical="center" wrapText="1"/>
    </xf>
    <xf numFmtId="0" fontId="6" fillId="0" borderId="0" xfId="0" applyFont="1" applyAlignment="1">
      <alignment vertical="center"/>
    </xf>
    <xf numFmtId="0" fontId="8" fillId="3" borderId="1" xfId="0" applyFont="1" applyFill="1" applyBorder="1" applyAlignment="1">
      <alignment horizontal="center" vertical="center" wrapText="1"/>
    </xf>
    <xf numFmtId="0" fontId="9" fillId="0" borderId="0" xfId="0" applyFont="1" applyAlignment="1">
      <alignment vertical="center"/>
    </xf>
    <xf numFmtId="0" fontId="10" fillId="3" borderId="1" xfId="0" applyFont="1" applyFill="1" applyBorder="1" applyAlignment="1">
      <alignment horizontal="center" vertical="center" wrapText="1"/>
    </xf>
    <xf numFmtId="0" fontId="12" fillId="4" borderId="5" xfId="0" applyFont="1" applyFill="1" applyBorder="1" applyAlignment="1">
      <alignment horizontal="center" vertical="center" wrapText="1"/>
    </xf>
    <xf numFmtId="0" fontId="12" fillId="4" borderId="6" xfId="0" applyFont="1" applyFill="1" applyBorder="1" applyAlignment="1">
      <alignment horizontal="center" vertical="center" wrapText="1"/>
    </xf>
    <xf numFmtId="0" fontId="13" fillId="5" borderId="1" xfId="0" applyFont="1" applyFill="1" applyBorder="1" applyAlignment="1">
      <alignment horizontal="center" vertical="center"/>
    </xf>
    <xf numFmtId="0" fontId="13" fillId="5" borderId="1" xfId="0" applyFont="1" applyFill="1" applyBorder="1" applyAlignment="1">
      <alignment horizontal="left" vertical="center"/>
    </xf>
    <xf numFmtId="0" fontId="13" fillId="5" borderId="1" xfId="0" applyFont="1" applyFill="1" applyBorder="1" applyAlignment="1">
      <alignment horizontal="center" vertical="center" wrapText="1"/>
    </xf>
    <xf numFmtId="0" fontId="13" fillId="5" borderId="1" xfId="0" applyFont="1" applyFill="1" applyBorder="1" applyAlignment="1">
      <alignment vertical="center"/>
    </xf>
    <xf numFmtId="0" fontId="13" fillId="5" borderId="1" xfId="0" applyFont="1" applyFill="1" applyBorder="1" applyAlignment="1">
      <alignment vertical="center"/>
    </xf>
    <xf numFmtId="0" fontId="14" fillId="5" borderId="1" xfId="0" applyFont="1" applyFill="1" applyBorder="1" applyAlignment="1">
      <alignment horizontal="center" vertical="center"/>
    </xf>
    <xf numFmtId="1" fontId="13" fillId="5" borderId="1" xfId="0" applyNumberFormat="1" applyFont="1" applyFill="1" applyBorder="1" applyAlignment="1">
      <alignment horizontal="center" vertical="center"/>
    </xf>
    <xf numFmtId="0" fontId="15" fillId="5" borderId="1" xfId="0" applyFont="1" applyFill="1" applyBorder="1" applyAlignment="1">
      <alignment vertical="center"/>
    </xf>
    <xf numFmtId="0" fontId="15" fillId="5" borderId="1" xfId="0" applyFont="1" applyFill="1" applyBorder="1" applyAlignment="1">
      <alignment vertical="center" wrapText="1"/>
    </xf>
    <xf numFmtId="0" fontId="13" fillId="5" borderId="1" xfId="0" applyFont="1" applyFill="1" applyBorder="1" applyAlignment="1">
      <alignment vertical="center" wrapText="1"/>
    </xf>
    <xf numFmtId="0" fontId="13" fillId="0" borderId="1" xfId="0" applyFont="1" applyBorder="1" applyAlignment="1">
      <alignment horizontal="center" vertical="center"/>
    </xf>
    <xf numFmtId="0" fontId="13" fillId="0" borderId="6" xfId="0" applyFont="1" applyBorder="1" applyAlignment="1">
      <alignment vertical="center"/>
    </xf>
    <xf numFmtId="0" fontId="13" fillId="0" borderId="6" xfId="0" applyFont="1" applyBorder="1" applyAlignment="1">
      <alignment horizontal="center" vertical="center"/>
    </xf>
    <xf numFmtId="0" fontId="13" fillId="6" borderId="6" xfId="0" applyFont="1" applyFill="1" applyBorder="1" applyAlignment="1">
      <alignment horizontal="center" vertical="center"/>
    </xf>
    <xf numFmtId="0" fontId="13" fillId="7" borderId="6" xfId="0" applyFont="1" applyFill="1" applyBorder="1" applyAlignment="1">
      <alignment horizontal="center" vertical="center" wrapText="1"/>
    </xf>
    <xf numFmtId="0" fontId="13" fillId="7" borderId="7" xfId="0" applyFont="1" applyFill="1" applyBorder="1" applyAlignment="1">
      <alignment horizontal="center" vertical="center" wrapText="1"/>
    </xf>
    <xf numFmtId="0" fontId="13" fillId="7" borderId="7" xfId="0" applyFont="1" applyFill="1" applyBorder="1" applyAlignment="1">
      <alignment horizontal="center" vertical="center"/>
    </xf>
    <xf numFmtId="0" fontId="13" fillId="0" borderId="1" xfId="0" applyFont="1" applyBorder="1" applyAlignment="1">
      <alignment vertical="center" wrapText="1"/>
    </xf>
    <xf numFmtId="0" fontId="1" fillId="0" borderId="1" xfId="0" applyFont="1" applyBorder="1" applyAlignment="1">
      <alignment vertical="center"/>
    </xf>
    <xf numFmtId="0" fontId="16" fillId="8" borderId="1" xfId="0" applyFont="1" applyFill="1" applyBorder="1" applyAlignment="1">
      <alignment horizontal="center" vertical="center"/>
    </xf>
    <xf numFmtId="0" fontId="17" fillId="8" borderId="1" xfId="0" applyFont="1" applyFill="1" applyBorder="1" applyAlignment="1">
      <alignment horizontal="left" vertical="center" wrapText="1"/>
    </xf>
    <xf numFmtId="0" fontId="13" fillId="8" borderId="6" xfId="0" applyFont="1" applyFill="1" applyBorder="1" applyAlignment="1">
      <alignment horizontal="center" vertical="center" wrapText="1"/>
    </xf>
    <xf numFmtId="0" fontId="13" fillId="6" borderId="6" xfId="0" applyFont="1" applyFill="1" applyBorder="1" applyAlignment="1">
      <alignment horizontal="center" vertical="center" wrapText="1"/>
    </xf>
    <xf numFmtId="0" fontId="13" fillId="8" borderId="5" xfId="0" applyFont="1" applyFill="1" applyBorder="1" applyAlignment="1">
      <alignment horizontal="center" vertical="center" wrapText="1"/>
    </xf>
    <xf numFmtId="0" fontId="13" fillId="8" borderId="1" xfId="0" applyFont="1" applyFill="1" applyBorder="1" applyAlignment="1">
      <alignment horizontal="center" vertical="center" wrapText="1"/>
    </xf>
    <xf numFmtId="0" fontId="13" fillId="0" borderId="2" xfId="0" applyFont="1" applyBorder="1" applyAlignment="1">
      <alignment horizontal="center" vertical="center"/>
    </xf>
    <xf numFmtId="0" fontId="18" fillId="0" borderId="1" xfId="0" applyFont="1" applyBorder="1" applyAlignment="1">
      <alignment horizontal="left" vertical="center" wrapText="1"/>
    </xf>
    <xf numFmtId="0" fontId="13" fillId="0" borderId="1" xfId="0" applyFont="1" applyBorder="1" applyAlignment="1">
      <alignment vertical="center"/>
    </xf>
    <xf numFmtId="0" fontId="13" fillId="6" borderId="5" xfId="0" applyFont="1" applyFill="1" applyBorder="1" applyAlignment="1">
      <alignment vertical="center"/>
    </xf>
    <xf numFmtId="0" fontId="13" fillId="0" borderId="5" xfId="0" applyFont="1" applyBorder="1" applyAlignment="1">
      <alignment horizontal="center" vertical="center"/>
    </xf>
    <xf numFmtId="0" fontId="21" fillId="0" borderId="0" xfId="0" applyFont="1" applyAlignment="1">
      <alignment vertical="center"/>
    </xf>
    <xf numFmtId="0" fontId="21" fillId="0" borderId="12" xfId="0" applyFont="1" applyBorder="1" applyAlignment="1">
      <alignment vertical="center"/>
    </xf>
    <xf numFmtId="0" fontId="13" fillId="9" borderId="4" xfId="0" applyFont="1" applyFill="1" applyBorder="1" applyAlignment="1">
      <alignment horizontal="center" vertical="center" wrapText="1"/>
    </xf>
    <xf numFmtId="0" fontId="12" fillId="4" borderId="1" xfId="0" applyFont="1" applyFill="1" applyBorder="1" applyAlignment="1">
      <alignment horizontal="center" vertical="center" wrapText="1"/>
    </xf>
    <xf numFmtId="0" fontId="13" fillId="0" borderId="2" xfId="0" applyFont="1" applyBorder="1" applyAlignment="1">
      <alignment horizontal="center" vertical="center" wrapText="1"/>
    </xf>
    <xf numFmtId="0" fontId="16" fillId="8" borderId="1" xfId="0" applyFont="1" applyFill="1" applyBorder="1" applyAlignment="1">
      <alignment horizontal="center" vertical="center" wrapText="1"/>
    </xf>
    <xf numFmtId="0" fontId="24" fillId="0" borderId="6" xfId="0" applyFont="1" applyBorder="1" applyAlignment="1">
      <alignment horizontal="center" vertical="center"/>
    </xf>
    <xf numFmtId="0" fontId="25" fillId="8" borderId="4" xfId="0" applyFont="1" applyFill="1" applyBorder="1" applyAlignment="1">
      <alignment horizontal="center" vertical="center" wrapText="1"/>
    </xf>
    <xf numFmtId="0" fontId="12" fillId="6" borderId="1" xfId="0" applyFont="1" applyFill="1" applyBorder="1" applyAlignment="1">
      <alignment horizontal="center" vertical="center" wrapText="1"/>
    </xf>
    <xf numFmtId="0" fontId="13" fillId="5" borderId="1" xfId="0" applyFont="1" applyFill="1" applyBorder="1" applyAlignment="1">
      <alignment horizontal="left" vertical="center" wrapText="1"/>
    </xf>
    <xf numFmtId="0" fontId="13" fillId="6" borderId="1" xfId="0" applyFont="1" applyFill="1" applyBorder="1" applyAlignment="1">
      <alignment vertical="center"/>
    </xf>
    <xf numFmtId="0" fontId="13" fillId="0" borderId="1" xfId="0" applyFont="1" applyBorder="1" applyAlignment="1">
      <alignment horizontal="center" vertical="center" wrapText="1"/>
    </xf>
    <xf numFmtId="0" fontId="13" fillId="0" borderId="6" xfId="0" applyFont="1" applyBorder="1" applyAlignment="1">
      <alignment horizontal="left" vertical="center" wrapText="1"/>
    </xf>
    <xf numFmtId="0" fontId="13" fillId="7" borderId="1" xfId="0" applyFont="1" applyFill="1" applyBorder="1" applyAlignment="1">
      <alignment horizontal="center" vertical="center" wrapText="1"/>
    </xf>
    <xf numFmtId="0" fontId="26" fillId="8" borderId="6" xfId="0" applyFont="1" applyFill="1" applyBorder="1" applyAlignment="1">
      <alignment horizontal="center" vertical="center" wrapText="1"/>
    </xf>
    <xf numFmtId="0" fontId="28" fillId="0" borderId="1" xfId="0" applyFont="1" applyBorder="1" applyAlignment="1">
      <alignment vertical="center" wrapText="1"/>
    </xf>
    <xf numFmtId="0" fontId="2" fillId="0" borderId="0" xfId="0" applyFont="1" applyAlignment="1">
      <alignment vertical="center"/>
    </xf>
    <xf numFmtId="0" fontId="9" fillId="0" borderId="5" xfId="0" applyFont="1" applyBorder="1" applyAlignment="1">
      <alignment vertical="center"/>
    </xf>
    <xf numFmtId="0" fontId="28" fillId="8" borderId="1" xfId="0" applyFont="1" applyFill="1" applyBorder="1" applyAlignment="1">
      <alignment horizontal="center" vertical="center" wrapText="1"/>
    </xf>
    <xf numFmtId="0" fontId="29" fillId="10" borderId="2" xfId="0" applyFont="1" applyFill="1" applyBorder="1" applyAlignment="1">
      <alignment horizontal="center" vertical="center"/>
    </xf>
    <xf numFmtId="0" fontId="29" fillId="10" borderId="3" xfId="0" applyFont="1" applyFill="1" applyBorder="1" applyAlignment="1">
      <alignment horizontal="center" vertical="center"/>
    </xf>
    <xf numFmtId="0" fontId="6" fillId="10" borderId="13" xfId="0" applyFont="1" applyFill="1" applyBorder="1" applyAlignment="1">
      <alignment horizontal="center" vertical="center" wrapText="1"/>
    </xf>
    <xf numFmtId="0" fontId="6" fillId="10" borderId="12" xfId="0" applyFont="1" applyFill="1" applyBorder="1" applyAlignment="1">
      <alignment horizontal="center" vertical="center" wrapText="1"/>
    </xf>
    <xf numFmtId="0" fontId="30" fillId="0" borderId="1" xfId="0" applyFont="1" applyBorder="1"/>
    <xf numFmtId="0" fontId="19" fillId="0" borderId="2" xfId="0" applyFont="1" applyBorder="1" applyAlignment="1">
      <alignment horizontal="center" vertical="center"/>
    </xf>
    <xf numFmtId="0" fontId="31" fillId="11" borderId="10" xfId="0" applyFont="1" applyFill="1" applyBorder="1" applyAlignment="1">
      <alignment horizontal="center" vertical="center"/>
    </xf>
    <xf numFmtId="0" fontId="26" fillId="8" borderId="6" xfId="0" applyFont="1" applyFill="1" applyBorder="1" applyAlignment="1">
      <alignment horizontal="center" vertical="center" wrapText="1"/>
    </xf>
    <xf numFmtId="9" fontId="31" fillId="11" borderId="11" xfId="0" applyNumberFormat="1" applyFont="1" applyFill="1" applyBorder="1" applyAlignment="1">
      <alignment horizontal="center" vertical="center"/>
    </xf>
    <xf numFmtId="0" fontId="31" fillId="12" borderId="11" xfId="0" applyFont="1" applyFill="1" applyBorder="1" applyAlignment="1">
      <alignment horizontal="center" vertical="center"/>
    </xf>
    <xf numFmtId="9" fontId="31" fillId="12" borderId="15" xfId="0" applyNumberFormat="1" applyFont="1" applyFill="1" applyBorder="1" applyAlignment="1">
      <alignment horizontal="center" vertical="center"/>
    </xf>
    <xf numFmtId="0" fontId="30" fillId="0" borderId="6" xfId="0" applyFont="1" applyBorder="1"/>
    <xf numFmtId="0" fontId="31" fillId="11" borderId="13" xfId="0" applyFont="1" applyFill="1" applyBorder="1" applyAlignment="1">
      <alignment horizontal="center" vertical="center"/>
    </xf>
    <xf numFmtId="9" fontId="31" fillId="11" borderId="0" xfId="0" applyNumberFormat="1" applyFont="1" applyFill="1" applyAlignment="1">
      <alignment horizontal="center" vertical="center"/>
    </xf>
    <xf numFmtId="0" fontId="28" fillId="8" borderId="4" xfId="0" applyFont="1" applyFill="1" applyBorder="1" applyAlignment="1">
      <alignment horizontal="center" vertical="center" wrapText="1"/>
    </xf>
    <xf numFmtId="0" fontId="31" fillId="12" borderId="0" xfId="0" applyFont="1" applyFill="1" applyAlignment="1">
      <alignment horizontal="center" vertical="center"/>
    </xf>
    <xf numFmtId="9" fontId="31" fillId="12" borderId="12" xfId="0" applyNumberFormat="1" applyFont="1" applyFill="1" applyBorder="1" applyAlignment="1">
      <alignment horizontal="center" vertical="center"/>
    </xf>
    <xf numFmtId="0" fontId="32" fillId="4" borderId="1" xfId="0" applyFont="1" applyFill="1" applyBorder="1" applyAlignment="1">
      <alignment horizontal="center" vertical="center" wrapText="1"/>
    </xf>
    <xf numFmtId="0" fontId="30" fillId="0" borderId="6" xfId="0" applyFont="1" applyBorder="1" applyAlignment="1"/>
    <xf numFmtId="0" fontId="30" fillId="0" borderId="6" xfId="0" applyFont="1" applyBorder="1" applyAlignment="1">
      <alignment wrapText="1"/>
    </xf>
    <xf numFmtId="0" fontId="24" fillId="0" borderId="1" xfId="0" applyFont="1" applyBorder="1" applyAlignment="1">
      <alignment horizontal="center" vertical="center"/>
    </xf>
    <xf numFmtId="0" fontId="31" fillId="11" borderId="14" xfId="0" applyFont="1" applyFill="1" applyBorder="1" applyAlignment="1">
      <alignment horizontal="center" vertical="center"/>
    </xf>
    <xf numFmtId="9" fontId="31" fillId="11" borderId="5" xfId="0" applyNumberFormat="1" applyFont="1" applyFill="1" applyBorder="1" applyAlignment="1">
      <alignment horizontal="center" vertical="center"/>
    </xf>
    <xf numFmtId="0" fontId="31" fillId="12" borderId="5" xfId="0" applyFont="1" applyFill="1" applyBorder="1" applyAlignment="1">
      <alignment horizontal="center" vertical="center"/>
    </xf>
    <xf numFmtId="9" fontId="31" fillId="12" borderId="7" xfId="0" applyNumberFormat="1" applyFont="1" applyFill="1" applyBorder="1" applyAlignment="1">
      <alignment horizontal="center" vertical="center"/>
    </xf>
    <xf numFmtId="0" fontId="29" fillId="10" borderId="1" xfId="0" applyFont="1" applyFill="1" applyBorder="1" applyAlignment="1">
      <alignment horizontal="center" vertical="center"/>
    </xf>
    <xf numFmtId="0" fontId="26" fillId="8" borderId="1" xfId="0" applyFont="1" applyFill="1" applyBorder="1" applyAlignment="1">
      <alignment horizontal="center" vertical="center" wrapText="1"/>
    </xf>
    <xf numFmtId="0" fontId="29" fillId="10" borderId="6" xfId="0" applyFont="1" applyFill="1" applyBorder="1" applyAlignment="1">
      <alignment horizontal="center" vertical="center"/>
    </xf>
    <xf numFmtId="9" fontId="29" fillId="10" borderId="6" xfId="0" applyNumberFormat="1" applyFont="1" applyFill="1" applyBorder="1" applyAlignment="1">
      <alignment horizontal="center" vertical="center"/>
    </xf>
    <xf numFmtId="0" fontId="13" fillId="5" borderId="2" xfId="0" applyFont="1" applyFill="1" applyBorder="1" applyAlignment="1">
      <alignment horizontal="center" vertical="center" wrapText="1"/>
    </xf>
    <xf numFmtId="0" fontId="13" fillId="5" borderId="3" xfId="0" applyFont="1" applyFill="1" applyBorder="1" applyAlignment="1">
      <alignment horizontal="left" vertical="center" wrapText="1"/>
    </xf>
    <xf numFmtId="0" fontId="13" fillId="5" borderId="3" xfId="0" applyFont="1" applyFill="1" applyBorder="1" applyAlignment="1">
      <alignment horizontal="center" vertical="center"/>
    </xf>
    <xf numFmtId="0" fontId="13" fillId="6" borderId="3" xfId="0" applyFont="1" applyFill="1" applyBorder="1" applyAlignment="1">
      <alignment vertical="center"/>
    </xf>
    <xf numFmtId="0" fontId="14" fillId="5" borderId="3" xfId="0" applyFont="1" applyFill="1" applyBorder="1" applyAlignment="1">
      <alignment horizontal="center" vertical="center"/>
    </xf>
    <xf numFmtId="0" fontId="19" fillId="7" borderId="6" xfId="0" applyFont="1" applyFill="1" applyBorder="1" applyAlignment="1">
      <alignment horizontal="center" vertical="center" wrapText="1"/>
    </xf>
    <xf numFmtId="0" fontId="13" fillId="8" borderId="7" xfId="0" applyFont="1" applyFill="1" applyBorder="1" applyAlignment="1">
      <alignment horizontal="center" vertical="center" wrapText="1"/>
    </xf>
    <xf numFmtId="0" fontId="13" fillId="0" borderId="5" xfId="0" applyFont="1" applyBorder="1" applyAlignment="1">
      <alignment vertical="center"/>
    </xf>
    <xf numFmtId="0" fontId="13" fillId="8" borderId="4" xfId="0" applyFont="1" applyFill="1" applyBorder="1" applyAlignment="1">
      <alignment horizontal="left" vertical="center" wrapText="1"/>
    </xf>
    <xf numFmtId="0" fontId="13" fillId="0" borderId="2" xfId="0" applyFont="1" applyBorder="1" applyAlignment="1">
      <alignment horizontal="center" vertical="center" wrapText="1"/>
    </xf>
    <xf numFmtId="0" fontId="13" fillId="6" borderId="14" xfId="0" applyFont="1" applyFill="1" applyBorder="1" applyAlignment="1">
      <alignment horizontal="center" vertical="center" wrapText="1"/>
    </xf>
    <xf numFmtId="0" fontId="13" fillId="8" borderId="14" xfId="0" applyFont="1" applyFill="1" applyBorder="1" applyAlignment="1">
      <alignment horizontal="center" vertical="center" wrapText="1"/>
    </xf>
    <xf numFmtId="0" fontId="27" fillId="0" borderId="1" xfId="0" applyFont="1" applyBorder="1" applyAlignment="1">
      <alignment horizontal="center" vertical="center" wrapText="1"/>
    </xf>
    <xf numFmtId="0" fontId="27" fillId="0" borderId="1" xfId="0" applyFont="1" applyBorder="1" applyAlignment="1">
      <alignment vertical="center" wrapText="1"/>
    </xf>
    <xf numFmtId="1" fontId="24" fillId="0" borderId="1" xfId="0" applyNumberFormat="1" applyFont="1" applyBorder="1" applyAlignment="1">
      <alignment horizontal="center" vertical="center"/>
    </xf>
    <xf numFmtId="0" fontId="33" fillId="0" borderId="0" xfId="0" applyFont="1" applyAlignment="1">
      <alignment horizontal="center" vertical="center"/>
    </xf>
    <xf numFmtId="0" fontId="19" fillId="0" borderId="0" xfId="0" applyFont="1" applyAlignment="1">
      <alignment horizontal="center" vertical="center"/>
    </xf>
    <xf numFmtId="0" fontId="19" fillId="0" borderId="0" xfId="0" applyFont="1" applyAlignment="1">
      <alignment horizontal="center" vertical="center" wrapText="1"/>
    </xf>
    <xf numFmtId="0" fontId="2" fillId="13" borderId="16" xfId="0" applyFont="1" applyFill="1" applyBorder="1" applyAlignment="1">
      <alignment horizontal="center" vertical="center" wrapText="1"/>
    </xf>
    <xf numFmtId="164" fontId="2" fillId="13" borderId="17" xfId="0" applyNumberFormat="1" applyFont="1" applyFill="1" applyBorder="1" applyAlignment="1">
      <alignment horizontal="center" vertical="center"/>
    </xf>
    <xf numFmtId="1" fontId="19" fillId="0" borderId="0" xfId="0" applyNumberFormat="1" applyFont="1" applyAlignment="1">
      <alignment horizontal="center" vertical="center"/>
    </xf>
    <xf numFmtId="0" fontId="34" fillId="0" borderId="0" xfId="0" applyFont="1" applyAlignment="1">
      <alignment vertical="center"/>
    </xf>
    <xf numFmtId="0" fontId="19" fillId="0" borderId="1" xfId="0" applyFont="1" applyBorder="1" applyAlignment="1">
      <alignment vertical="center" wrapText="1"/>
    </xf>
    <xf numFmtId="0" fontId="35" fillId="0" borderId="0" xfId="0" applyFont="1" applyAlignment="1">
      <alignment horizontal="center" vertical="center"/>
    </xf>
    <xf numFmtId="0" fontId="35" fillId="0" borderId="0" xfId="0" applyFont="1" applyAlignment="1">
      <alignment vertical="center" wrapText="1"/>
    </xf>
    <xf numFmtId="1" fontId="29" fillId="0" borderId="23" xfId="0" applyNumberFormat="1" applyFont="1" applyBorder="1" applyAlignment="1">
      <alignment horizontal="center" vertical="center"/>
    </xf>
    <xf numFmtId="1" fontId="29" fillId="0" borderId="25" xfId="0" applyNumberFormat="1" applyFont="1" applyBorder="1" applyAlignment="1">
      <alignment horizontal="center" vertical="center"/>
    </xf>
    <xf numFmtId="0" fontId="29" fillId="0" borderId="0" xfId="0" applyFont="1" applyAlignment="1">
      <alignment horizontal="left" vertical="center" wrapText="1"/>
    </xf>
    <xf numFmtId="0" fontId="29" fillId="0" borderId="26" xfId="0" applyFont="1" applyBorder="1" applyAlignment="1">
      <alignment horizontal="center" vertical="center" wrapText="1"/>
    </xf>
    <xf numFmtId="0" fontId="36" fillId="0" borderId="0" xfId="0" applyFont="1" applyAlignment="1">
      <alignment horizontal="center" vertical="center"/>
    </xf>
    <xf numFmtId="0" fontId="37" fillId="0" borderId="0" xfId="0" applyFont="1" applyAlignment="1">
      <alignment vertical="center" wrapText="1"/>
    </xf>
    <xf numFmtId="1" fontId="38" fillId="0" borderId="20" xfId="0" applyNumberFormat="1" applyFont="1" applyBorder="1" applyAlignment="1">
      <alignment horizontal="center" vertical="center"/>
    </xf>
    <xf numFmtId="1" fontId="9" fillId="0" borderId="20" xfId="0" applyNumberFormat="1" applyFont="1" applyBorder="1" applyAlignment="1">
      <alignment horizontal="center" vertical="center"/>
    </xf>
    <xf numFmtId="0" fontId="19" fillId="0" borderId="20" xfId="0" applyFont="1" applyBorder="1" applyAlignment="1">
      <alignment horizontal="center" vertical="center" wrapText="1"/>
    </xf>
    <xf numFmtId="1" fontId="9" fillId="0" borderId="20" xfId="0" applyNumberFormat="1" applyFont="1" applyBorder="1" applyAlignment="1">
      <alignment vertical="center" wrapText="1"/>
    </xf>
    <xf numFmtId="1" fontId="38" fillId="0" borderId="0" xfId="0" applyNumberFormat="1" applyFont="1" applyAlignment="1">
      <alignment horizontal="center" vertical="center"/>
    </xf>
    <xf numFmtId="0" fontId="13" fillId="8" borderId="4" xfId="0" applyFont="1" applyFill="1" applyBorder="1" applyAlignment="1">
      <alignment horizontal="center" vertical="center" wrapText="1"/>
    </xf>
    <xf numFmtId="1" fontId="9" fillId="0" borderId="0" xfId="0" applyNumberFormat="1" applyFont="1" applyAlignment="1">
      <alignment horizontal="center" vertical="center"/>
    </xf>
    <xf numFmtId="1" fontId="9" fillId="0" borderId="0" xfId="0" applyNumberFormat="1" applyFont="1" applyAlignment="1">
      <alignment vertical="center" wrapText="1"/>
    </xf>
    <xf numFmtId="0" fontId="39" fillId="0" borderId="0" xfId="0" applyFont="1" applyAlignment="1">
      <alignment horizontal="center" vertical="center" wrapText="1"/>
    </xf>
    <xf numFmtId="0" fontId="19" fillId="0" borderId="0" xfId="0" applyFont="1" applyAlignment="1">
      <alignment vertical="center"/>
    </xf>
    <xf numFmtId="0" fontId="19" fillId="0" borderId="0" xfId="0" applyFont="1" applyAlignment="1">
      <alignment horizontal="left" vertical="center" wrapText="1"/>
    </xf>
    <xf numFmtId="0" fontId="29" fillId="0" borderId="0" xfId="0" applyFont="1" applyAlignment="1">
      <alignment horizontal="center" vertical="center" wrapText="1"/>
    </xf>
    <xf numFmtId="0" fontId="40" fillId="0" borderId="0" xfId="0" applyFont="1" applyAlignment="1">
      <alignment horizontal="left" vertical="center" wrapText="1"/>
    </xf>
    <xf numFmtId="1" fontId="41" fillId="0" borderId="0" xfId="0" applyNumberFormat="1" applyFont="1" applyAlignment="1">
      <alignment horizontal="center" vertical="center"/>
    </xf>
    <xf numFmtId="0" fontId="16" fillId="0" borderId="0" xfId="0" applyFont="1" applyAlignment="1">
      <alignment horizontal="left" vertical="center" wrapText="1"/>
    </xf>
    <xf numFmtId="1" fontId="42" fillId="0" borderId="0" xfId="0" applyNumberFormat="1" applyFont="1" applyAlignment="1">
      <alignment horizontal="center" vertical="center"/>
    </xf>
    <xf numFmtId="0" fontId="43" fillId="0" borderId="0" xfId="0" applyFont="1" applyAlignment="1">
      <alignment horizontal="left" vertical="center" wrapText="1"/>
    </xf>
    <xf numFmtId="0" fontId="13" fillId="6" borderId="14" xfId="0" applyFont="1" applyFill="1" applyBorder="1" applyAlignment="1">
      <alignment horizontal="center" vertical="center"/>
    </xf>
    <xf numFmtId="0" fontId="13" fillId="7" borderId="14" xfId="0" applyFont="1" applyFill="1" applyBorder="1" applyAlignment="1">
      <alignment horizontal="center" vertical="center" wrapText="1"/>
    </xf>
    <xf numFmtId="0" fontId="13" fillId="8" borderId="8" xfId="0" applyFont="1" applyFill="1" applyBorder="1" applyAlignment="1">
      <alignment horizontal="center" vertical="center" wrapText="1"/>
    </xf>
    <xf numFmtId="0" fontId="44" fillId="0" borderId="1" xfId="0" applyFont="1" applyBorder="1" applyAlignment="1">
      <alignment vertical="center"/>
    </xf>
    <xf numFmtId="0" fontId="45" fillId="0" borderId="1" xfId="0" applyFont="1" applyBorder="1" applyAlignment="1">
      <alignment vertical="center" wrapText="1"/>
    </xf>
    <xf numFmtId="0" fontId="19" fillId="0" borderId="1" xfId="0" applyFont="1" applyBorder="1" applyAlignment="1">
      <alignment vertical="center"/>
    </xf>
    <xf numFmtId="0" fontId="44" fillId="8" borderId="0" xfId="0" applyFont="1" applyFill="1" applyBorder="1" applyAlignment="1">
      <alignment vertical="center" wrapText="1"/>
    </xf>
    <xf numFmtId="0" fontId="44" fillId="8" borderId="27" xfId="0" applyFont="1" applyFill="1" applyBorder="1" applyAlignment="1">
      <alignment vertical="center" wrapText="1"/>
    </xf>
    <xf numFmtId="0" fontId="13" fillId="8" borderId="9" xfId="0" applyFont="1" applyFill="1" applyBorder="1" applyAlignment="1">
      <alignment horizontal="center" vertical="center" wrapText="1"/>
    </xf>
    <xf numFmtId="0" fontId="44" fillId="0" borderId="1" xfId="0" applyFont="1" applyBorder="1" applyAlignment="1">
      <alignment vertical="center" wrapText="1"/>
    </xf>
    <xf numFmtId="0" fontId="13" fillId="0" borderId="4" xfId="0" applyFont="1" applyBorder="1" applyAlignment="1">
      <alignment vertical="center" wrapText="1"/>
    </xf>
    <xf numFmtId="0" fontId="13" fillId="8" borderId="1" xfId="0" applyFont="1" applyFill="1" applyBorder="1" applyAlignment="1">
      <alignment horizontal="center" vertical="center"/>
    </xf>
    <xf numFmtId="0" fontId="13" fillId="8" borderId="1" xfId="0" applyFont="1" applyFill="1" applyBorder="1" applyAlignment="1">
      <alignment horizontal="left" vertical="center"/>
    </xf>
    <xf numFmtId="0" fontId="25" fillId="8" borderId="1" xfId="0" applyFont="1" applyFill="1" applyBorder="1" applyAlignment="1">
      <alignment vertical="center" wrapText="1"/>
    </xf>
    <xf numFmtId="0" fontId="13" fillId="8" borderId="1" xfId="0" applyFont="1" applyFill="1" applyBorder="1" applyAlignment="1">
      <alignment vertical="center" wrapText="1"/>
    </xf>
    <xf numFmtId="0" fontId="46" fillId="0" borderId="1" xfId="0" applyFont="1" applyBorder="1" applyAlignment="1">
      <alignment horizontal="left" vertical="center" wrapText="1"/>
    </xf>
    <xf numFmtId="0" fontId="13" fillId="6" borderId="1" xfId="0" applyFont="1" applyFill="1" applyBorder="1" applyAlignment="1">
      <alignment horizontal="center" vertical="center" wrapText="1"/>
    </xf>
    <xf numFmtId="0" fontId="19" fillId="5" borderId="1" xfId="0" applyFont="1" applyFill="1" applyBorder="1" applyAlignment="1">
      <alignment horizontal="left" vertical="center" wrapText="1"/>
    </xf>
    <xf numFmtId="0" fontId="13" fillId="0" borderId="1" xfId="0" applyFont="1" applyBorder="1" applyAlignment="1">
      <alignment horizontal="left" vertical="center" wrapText="1"/>
    </xf>
    <xf numFmtId="0" fontId="47" fillId="5" borderId="1" xfId="0" applyFont="1" applyFill="1" applyBorder="1" applyAlignment="1">
      <alignment horizontal="center" vertical="center"/>
    </xf>
    <xf numFmtId="0" fontId="44" fillId="8" borderId="0" xfId="0" applyFont="1" applyFill="1" applyBorder="1" applyAlignment="1">
      <alignment vertical="center"/>
    </xf>
    <xf numFmtId="0" fontId="18" fillId="0" borderId="1" xfId="0" applyFont="1" applyBorder="1" applyAlignment="1">
      <alignment vertical="center" wrapText="1"/>
    </xf>
    <xf numFmtId="0" fontId="46" fillId="8" borderId="1" xfId="0" applyFont="1" applyFill="1" applyBorder="1" applyAlignment="1">
      <alignment horizontal="left" vertical="center" wrapText="1"/>
    </xf>
    <xf numFmtId="0" fontId="13" fillId="8" borderId="2" xfId="0" applyFont="1" applyFill="1" applyBorder="1" applyAlignment="1">
      <alignment horizontal="center" vertical="center" wrapText="1"/>
    </xf>
    <xf numFmtId="0" fontId="46" fillId="8" borderId="4" xfId="0" applyFont="1" applyFill="1" applyBorder="1" applyAlignment="1">
      <alignment horizontal="left" vertical="center" wrapText="1"/>
    </xf>
    <xf numFmtId="0" fontId="13" fillId="6" borderId="1" xfId="0" applyFont="1" applyFill="1" applyBorder="1" applyAlignment="1">
      <alignment horizontal="center" vertical="center"/>
    </xf>
    <xf numFmtId="0" fontId="13" fillId="7" borderId="1" xfId="0" applyFont="1" applyFill="1" applyBorder="1" applyAlignment="1">
      <alignment horizontal="center" vertical="center"/>
    </xf>
    <xf numFmtId="0" fontId="13" fillId="5" borderId="3" xfId="0" applyFont="1" applyFill="1" applyBorder="1" applyAlignment="1">
      <alignment horizontal="center" vertical="center"/>
    </xf>
    <xf numFmtId="0" fontId="16" fillId="8" borderId="2" xfId="0" applyFont="1" applyFill="1" applyBorder="1" applyAlignment="1">
      <alignment horizontal="center" vertical="center" wrapText="1"/>
    </xf>
    <xf numFmtId="0" fontId="48" fillId="0" borderId="1" xfId="0" applyFont="1" applyBorder="1" applyAlignment="1">
      <alignment vertical="center" wrapText="1"/>
    </xf>
    <xf numFmtId="0" fontId="13" fillId="10" borderId="1" xfId="0" applyFont="1" applyFill="1" applyBorder="1" applyAlignment="1">
      <alignment vertical="center" wrapText="1"/>
    </xf>
    <xf numFmtId="0" fontId="13" fillId="10" borderId="1" xfId="0" applyFont="1" applyFill="1" applyBorder="1" applyAlignment="1">
      <alignment horizontal="left" vertical="center" wrapText="1"/>
    </xf>
    <xf numFmtId="0" fontId="13" fillId="6" borderId="5" xfId="0" applyFont="1" applyFill="1" applyBorder="1" applyAlignment="1">
      <alignment horizontal="center" vertical="center"/>
    </xf>
    <xf numFmtId="0" fontId="18" fillId="0" borderId="1" xfId="0" applyFont="1" applyBorder="1" applyAlignment="1">
      <alignment horizontal="left" vertical="center" wrapText="1"/>
    </xf>
    <xf numFmtId="0" fontId="18" fillId="0" borderId="8" xfId="0" applyFont="1" applyBorder="1" applyAlignment="1">
      <alignment horizontal="left" vertical="center" wrapText="1"/>
    </xf>
    <xf numFmtId="0" fontId="49" fillId="8" borderId="1" xfId="0" applyFont="1" applyFill="1" applyBorder="1" applyAlignment="1">
      <alignment horizontal="left" vertical="center"/>
    </xf>
    <xf numFmtId="0" fontId="17" fillId="8" borderId="6" xfId="0" applyFont="1" applyFill="1" applyBorder="1" applyAlignment="1">
      <alignment horizontal="left" vertical="center" wrapText="1"/>
    </xf>
    <xf numFmtId="0" fontId="6" fillId="0" borderId="1" xfId="0" applyFont="1" applyBorder="1" applyAlignment="1">
      <alignment vertical="center" wrapText="1"/>
    </xf>
    <xf numFmtId="2" fontId="17" fillId="8" borderId="1" xfId="0" applyNumberFormat="1" applyFont="1" applyFill="1" applyBorder="1" applyAlignment="1">
      <alignment horizontal="left" vertical="center" wrapText="1"/>
    </xf>
    <xf numFmtId="0" fontId="13" fillId="10" borderId="1" xfId="0" applyFont="1" applyFill="1" applyBorder="1" applyAlignment="1">
      <alignment horizontal="center" vertical="center" wrapText="1"/>
    </xf>
    <xf numFmtId="0" fontId="25" fillId="8" borderId="1" xfId="0" applyFont="1" applyFill="1" applyBorder="1" applyAlignment="1">
      <alignment horizontal="left" vertical="center" wrapText="1"/>
    </xf>
    <xf numFmtId="0" fontId="13" fillId="0" borderId="10" xfId="0" applyFont="1" applyBorder="1" applyAlignment="1">
      <alignment horizontal="center" vertical="center" wrapText="1"/>
    </xf>
    <xf numFmtId="0" fontId="13" fillId="0" borderId="8" xfId="0" applyFont="1" applyBorder="1" applyAlignment="1">
      <alignment vertical="center"/>
    </xf>
    <xf numFmtId="0" fontId="13" fillId="6" borderId="0" xfId="0" applyFont="1" applyFill="1" applyBorder="1" applyAlignment="1">
      <alignment vertical="center"/>
    </xf>
    <xf numFmtId="0" fontId="13" fillId="5" borderId="4" xfId="0" applyFont="1" applyFill="1" applyBorder="1" applyAlignment="1">
      <alignment horizontal="left" vertical="center"/>
    </xf>
    <xf numFmtId="0" fontId="13" fillId="0" borderId="7" xfId="0" applyFont="1" applyBorder="1" applyAlignment="1">
      <alignment vertical="center" wrapText="1"/>
    </xf>
    <xf numFmtId="0" fontId="17" fillId="8" borderId="1" xfId="0" applyFont="1" applyFill="1" applyBorder="1" applyAlignment="1">
      <alignment vertical="center"/>
    </xf>
    <xf numFmtId="0" fontId="16" fillId="8" borderId="8" xfId="0" applyFont="1" applyFill="1" applyBorder="1" applyAlignment="1">
      <alignment horizontal="center" vertical="center"/>
    </xf>
    <xf numFmtId="0" fontId="13" fillId="0" borderId="5" xfId="0" applyFont="1" applyBorder="1" applyAlignment="1">
      <alignment vertical="center"/>
    </xf>
    <xf numFmtId="0" fontId="6" fillId="0" borderId="1" xfId="0" applyFont="1" applyBorder="1" applyAlignment="1">
      <alignment horizontal="left" vertical="center" wrapText="1"/>
    </xf>
    <xf numFmtId="0" fontId="17" fillId="8" borderId="1" xfId="0" applyFont="1" applyFill="1" applyBorder="1" applyAlignment="1">
      <alignment vertical="center" wrapText="1"/>
    </xf>
    <xf numFmtId="0" fontId="13" fillId="8" borderId="12" xfId="0" applyFont="1" applyFill="1" applyBorder="1" applyAlignment="1">
      <alignment horizontal="center" vertical="center" wrapText="1"/>
    </xf>
    <xf numFmtId="0" fontId="50" fillId="0" borderId="1" xfId="0" applyFont="1" applyBorder="1" applyAlignment="1">
      <alignment horizontal="left" vertical="center" wrapText="1"/>
    </xf>
    <xf numFmtId="0" fontId="13" fillId="0" borderId="3" xfId="0" applyFont="1" applyBorder="1" applyAlignment="1">
      <alignment vertical="center"/>
    </xf>
    <xf numFmtId="0" fontId="50" fillId="0" borderId="1" xfId="0" applyFont="1" applyBorder="1" applyAlignment="1">
      <alignment horizontal="left" vertical="center" wrapText="1"/>
    </xf>
    <xf numFmtId="0" fontId="47" fillId="5" borderId="6" xfId="0" applyFont="1" applyFill="1" applyBorder="1" applyAlignment="1">
      <alignment horizontal="center" vertical="center"/>
    </xf>
    <xf numFmtId="0" fontId="44" fillId="8" borderId="4" xfId="0" applyFont="1" applyFill="1" applyBorder="1" applyAlignment="1">
      <alignment horizontal="left" vertical="center"/>
    </xf>
    <xf numFmtId="0" fontId="13" fillId="14" borderId="6" xfId="0" applyFont="1" applyFill="1" applyBorder="1" applyAlignment="1">
      <alignment horizontal="center" vertical="center" wrapText="1"/>
    </xf>
    <xf numFmtId="0" fontId="44" fillId="8" borderId="1" xfId="0" applyFont="1" applyFill="1" applyBorder="1" applyAlignment="1">
      <alignment horizontal="left" vertical="center"/>
    </xf>
    <xf numFmtId="0" fontId="44" fillId="4" borderId="1" xfId="0" applyFont="1" applyFill="1" applyBorder="1" applyAlignment="1">
      <alignment horizontal="left" vertical="center"/>
    </xf>
    <xf numFmtId="0" fontId="13" fillId="7" borderId="5" xfId="0" applyFont="1" applyFill="1" applyBorder="1" applyAlignment="1">
      <alignment horizontal="center" vertical="center"/>
    </xf>
    <xf numFmtId="0" fontId="44" fillId="0" borderId="1" xfId="0" applyFont="1" applyBorder="1" applyAlignment="1">
      <alignment horizontal="left" vertical="center"/>
    </xf>
    <xf numFmtId="0" fontId="49" fillId="8" borderId="0" xfId="0" applyFont="1" applyFill="1" applyBorder="1" applyAlignment="1">
      <alignment horizontal="left" vertical="center"/>
    </xf>
    <xf numFmtId="0" fontId="51" fillId="13" borderId="1" xfId="0" applyFont="1" applyFill="1" applyBorder="1" applyAlignment="1">
      <alignment horizontal="center" vertical="center"/>
    </xf>
    <xf numFmtId="1" fontId="51" fillId="13" borderId="1" xfId="0" applyNumberFormat="1" applyFont="1" applyFill="1" applyBorder="1" applyAlignment="1">
      <alignment vertical="center"/>
    </xf>
    <xf numFmtId="0" fontId="51" fillId="0" borderId="13" xfId="0" applyFont="1" applyBorder="1" applyAlignment="1">
      <alignment vertical="center"/>
    </xf>
    <xf numFmtId="0" fontId="51" fillId="0" borderId="0" xfId="0" applyFont="1" applyAlignment="1">
      <alignment vertical="center"/>
    </xf>
    <xf numFmtId="0" fontId="49" fillId="0" borderId="0" xfId="0" applyFont="1" applyAlignment="1">
      <alignment horizontal="center"/>
    </xf>
    <xf numFmtId="0" fontId="49" fillId="0" borderId="0" xfId="0" applyFont="1"/>
    <xf numFmtId="0" fontId="52" fillId="0" borderId="0" xfId="0" applyFont="1"/>
    <xf numFmtId="0" fontId="29" fillId="0" borderId="0" xfId="0" applyFont="1" applyAlignment="1">
      <alignment vertical="center" wrapText="1"/>
    </xf>
    <xf numFmtId="0" fontId="53" fillId="7" borderId="0" xfId="0" applyFont="1" applyFill="1" applyBorder="1" applyAlignment="1">
      <alignment vertical="center"/>
    </xf>
    <xf numFmtId="0" fontId="13" fillId="8" borderId="3" xfId="0" applyFont="1" applyFill="1" applyBorder="1" applyAlignment="1">
      <alignment vertical="center"/>
    </xf>
    <xf numFmtId="0" fontId="13" fillId="8" borderId="3" xfId="0" applyFont="1" applyFill="1" applyBorder="1" applyAlignment="1">
      <alignment vertical="center"/>
    </xf>
    <xf numFmtId="0" fontId="6" fillId="8" borderId="3" xfId="0" applyFont="1" applyFill="1" applyBorder="1" applyAlignment="1">
      <alignment vertical="center"/>
    </xf>
    <xf numFmtId="1" fontId="13" fillId="8" borderId="1" xfId="0" applyNumberFormat="1" applyFont="1" applyFill="1" applyBorder="1" applyAlignment="1">
      <alignment horizontal="center" vertical="center"/>
    </xf>
    <xf numFmtId="165" fontId="6" fillId="0" borderId="0" xfId="0" applyNumberFormat="1" applyFont="1"/>
    <xf numFmtId="0" fontId="6" fillId="0" borderId="0" xfId="0" applyFont="1"/>
    <xf numFmtId="0" fontId="13" fillId="0" borderId="28" xfId="0" applyFont="1" applyBorder="1" applyAlignment="1">
      <alignment vertical="center"/>
    </xf>
    <xf numFmtId="0" fontId="13" fillId="0" borderId="29" xfId="0" applyFont="1" applyBorder="1" applyAlignment="1">
      <alignment vertical="center"/>
    </xf>
    <xf numFmtId="0" fontId="6" fillId="0" borderId="29" xfId="0" applyFont="1" applyBorder="1" applyAlignment="1">
      <alignment vertical="center"/>
    </xf>
    <xf numFmtId="0" fontId="6" fillId="0" borderId="30" xfId="0" applyFont="1" applyBorder="1" applyAlignment="1">
      <alignment vertical="center"/>
    </xf>
    <xf numFmtId="1" fontId="13" fillId="0" borderId="1" xfId="0" applyNumberFormat="1" applyFont="1" applyBorder="1" applyAlignment="1">
      <alignment horizontal="center" vertical="center"/>
    </xf>
    <xf numFmtId="0" fontId="13" fillId="7" borderId="11" xfId="0" applyFont="1" applyFill="1" applyBorder="1" applyAlignment="1">
      <alignment vertical="center"/>
    </xf>
    <xf numFmtId="0" fontId="6" fillId="7" borderId="11" xfId="0" applyFont="1" applyFill="1" applyBorder="1" applyAlignment="1">
      <alignment vertical="center"/>
    </xf>
    <xf numFmtId="1" fontId="13" fillId="7" borderId="1" xfId="0" applyNumberFormat="1" applyFont="1" applyFill="1" applyBorder="1" applyAlignment="1">
      <alignment horizontal="center" vertical="center"/>
    </xf>
    <xf numFmtId="0" fontId="13" fillId="15" borderId="2" xfId="0" applyFont="1" applyFill="1" applyBorder="1" applyAlignment="1">
      <alignment horizontal="center" vertical="center"/>
    </xf>
    <xf numFmtId="0" fontId="13" fillId="15" borderId="31" xfId="0" applyFont="1" applyFill="1" applyBorder="1" applyAlignment="1">
      <alignment vertical="center"/>
    </xf>
    <xf numFmtId="0" fontId="13" fillId="15" borderId="29" xfId="0" applyFont="1" applyFill="1" applyBorder="1" applyAlignment="1">
      <alignment vertical="center"/>
    </xf>
    <xf numFmtId="0" fontId="13" fillId="15" borderId="30" xfId="0" applyFont="1" applyFill="1" applyBorder="1" applyAlignment="1">
      <alignment vertical="center"/>
    </xf>
    <xf numFmtId="0" fontId="13" fillId="15" borderId="3" xfId="0" applyFont="1" applyFill="1" applyBorder="1" applyAlignment="1">
      <alignment vertical="center"/>
    </xf>
    <xf numFmtId="0" fontId="6" fillId="15" borderId="3" xfId="0" applyFont="1" applyFill="1" applyBorder="1" applyAlignment="1">
      <alignment vertical="center"/>
    </xf>
    <xf numFmtId="0" fontId="6" fillId="15" borderId="4" xfId="0" applyFont="1" applyFill="1" applyBorder="1" applyAlignment="1">
      <alignment vertical="center"/>
    </xf>
    <xf numFmtId="1" fontId="13" fillId="15" borderId="4" xfId="0" applyNumberFormat="1" applyFont="1" applyFill="1" applyBorder="1" applyAlignment="1">
      <alignment horizontal="center" vertical="center"/>
    </xf>
    <xf numFmtId="0" fontId="13" fillId="7" borderId="0" xfId="0" applyFont="1" applyFill="1" applyBorder="1" applyAlignment="1">
      <alignment vertical="center"/>
    </xf>
    <xf numFmtId="0" fontId="13" fillId="7" borderId="0" xfId="0" applyFont="1" applyFill="1" applyBorder="1" applyAlignment="1">
      <alignment vertical="center"/>
    </xf>
    <xf numFmtId="0" fontId="6" fillId="7" borderId="0" xfId="0" applyFont="1" applyFill="1" applyBorder="1" applyAlignment="1">
      <alignment vertical="center"/>
    </xf>
    <xf numFmtId="0" fontId="13" fillId="15" borderId="2" xfId="0" applyFont="1" applyFill="1" applyBorder="1" applyAlignment="1">
      <alignment vertical="center"/>
    </xf>
    <xf numFmtId="0" fontId="13" fillId="0" borderId="2" xfId="0" applyFont="1" applyBorder="1" applyAlignment="1">
      <alignment horizontal="center"/>
    </xf>
    <xf numFmtId="0" fontId="13" fillId="0" borderId="5" xfId="0" applyFont="1" applyBorder="1"/>
    <xf numFmtId="0" fontId="6" fillId="0" borderId="5" xfId="0" applyFont="1" applyBorder="1"/>
    <xf numFmtId="2" fontId="13" fillId="0" borderId="4" xfId="0" applyNumberFormat="1" applyFont="1" applyBorder="1" applyAlignment="1">
      <alignment vertical="center"/>
    </xf>
    <xf numFmtId="0" fontId="13" fillId="0" borderId="3" xfId="0" applyFont="1" applyBorder="1"/>
    <xf numFmtId="0" fontId="6" fillId="0" borderId="3" xfId="0" applyFont="1" applyBorder="1"/>
    <xf numFmtId="0" fontId="49" fillId="0" borderId="0" xfId="0" applyFont="1" applyAlignment="1">
      <alignment vertical="center"/>
    </xf>
    <xf numFmtId="0" fontId="29" fillId="0" borderId="0" xfId="0" applyFont="1" applyAlignment="1">
      <alignment horizontal="center"/>
    </xf>
    <xf numFmtId="0" fontId="9" fillId="0" borderId="0" xfId="0" applyFont="1" applyAlignment="1">
      <alignment horizontal="center"/>
    </xf>
    <xf numFmtId="166" fontId="49" fillId="0" borderId="0" xfId="0" applyNumberFormat="1" applyFont="1" applyAlignment="1">
      <alignment vertical="center"/>
    </xf>
    <xf numFmtId="0" fontId="55" fillId="0" borderId="1" xfId="44" applyFont="1" applyFill="1" applyBorder="1" applyAlignment="1">
      <alignment horizontal="left" vertical="center" wrapText="1"/>
    </xf>
    <xf numFmtId="0" fontId="55" fillId="0" borderId="1" xfId="44" applyFont="1" applyFill="1" applyBorder="1" applyAlignment="1">
      <alignment horizontal="left" vertical="center" wrapText="1"/>
    </xf>
    <xf numFmtId="0" fontId="55" fillId="0" borderId="1" xfId="36" applyFont="1" applyBorder="1" applyAlignment="1">
      <alignment horizontal="left" vertical="center" wrapText="1"/>
    </xf>
    <xf numFmtId="0" fontId="55" fillId="0" borderId="1" xfId="37" applyFont="1" applyBorder="1" applyAlignment="1">
      <alignment horizontal="left" vertical="center" wrapText="1"/>
    </xf>
    <xf numFmtId="0" fontId="55" fillId="0" borderId="1" xfId="39" applyFont="1" applyBorder="1" applyAlignment="1">
      <alignment horizontal="left" vertical="center" wrapText="1"/>
    </xf>
    <xf numFmtId="0" fontId="57" fillId="0" borderId="0" xfId="40" applyFont="1" applyAlignment="1">
      <alignment wrapText="1"/>
    </xf>
    <xf numFmtId="0" fontId="55" fillId="0" borderId="1" xfId="41" applyFont="1" applyBorder="1" applyAlignment="1">
      <alignment horizontal="left" vertical="center" wrapText="1"/>
    </xf>
    <xf numFmtId="0" fontId="62" fillId="0" borderId="1" xfId="42" applyFont="1" applyBorder="1" applyAlignment="1" applyProtection="1">
      <alignment horizontal="left" vertical="center" wrapText="1"/>
    </xf>
    <xf numFmtId="0" fontId="55" fillId="0" borderId="1" xfId="105" applyFont="1" applyBorder="1" applyAlignment="1">
      <alignment horizontal="left" vertical="center" wrapText="1"/>
    </xf>
    <xf numFmtId="0" fontId="55" fillId="0" borderId="1" xfId="106" applyFont="1" applyBorder="1" applyAlignment="1">
      <alignment horizontal="left" vertical="center" wrapText="1"/>
    </xf>
    <xf numFmtId="0" fontId="54" fillId="0" borderId="0" xfId="106" applyFont="1" applyAlignment="1">
      <alignment vertical="center" wrapText="1"/>
    </xf>
    <xf numFmtId="0" fontId="55" fillId="0" borderId="1" xfId="107" applyFont="1" applyBorder="1" applyAlignment="1">
      <alignment vertical="center" wrapText="1"/>
    </xf>
    <xf numFmtId="0" fontId="55" fillId="0" borderId="1" xfId="108" applyFont="1" applyBorder="1" applyAlignment="1">
      <alignment horizontal="left" vertical="center" wrapText="1"/>
    </xf>
    <xf numFmtId="0" fontId="55" fillId="0" borderId="1" xfId="12" applyFont="1" applyBorder="1" applyAlignment="1">
      <alignment horizontal="left" vertical="center" wrapText="1"/>
    </xf>
    <xf numFmtId="0" fontId="62" fillId="0" borderId="1" xfId="42" applyFont="1" applyBorder="1" applyAlignment="1" applyProtection="1">
      <alignment horizontal="left" vertical="center" wrapText="1"/>
    </xf>
    <xf numFmtId="0" fontId="60" fillId="0" borderId="1" xfId="42" applyBorder="1" applyAlignment="1" applyProtection="1">
      <alignment horizontal="left" vertical="center" wrapText="1"/>
    </xf>
    <xf numFmtId="0" fontId="60" fillId="0" borderId="1" xfId="5" applyBorder="1" applyAlignment="1" applyProtection="1">
      <alignment horizontal="left" vertical="center" wrapText="1"/>
    </xf>
    <xf numFmtId="0" fontId="55" fillId="0" borderId="1" xfId="12" applyFont="1" applyBorder="1" applyAlignment="1">
      <alignment horizontal="left" vertical="center" wrapText="1"/>
    </xf>
    <xf numFmtId="0" fontId="55" fillId="0" borderId="0" xfId="12" applyFont="1" applyBorder="1" applyAlignment="1">
      <alignment horizontal="left" vertical="center" wrapText="1"/>
    </xf>
    <xf numFmtId="0" fontId="58" fillId="0" borderId="1" xfId="12" applyFont="1" applyBorder="1" applyAlignment="1">
      <alignment vertical="center" wrapText="1"/>
    </xf>
    <xf numFmtId="0" fontId="60" fillId="0" borderId="1" xfId="42" applyBorder="1" applyAlignment="1" applyProtection="1">
      <alignment horizontal="left" vertical="center" wrapText="1"/>
    </xf>
    <xf numFmtId="0" fontId="55" fillId="0" borderId="1" xfId="12" applyFont="1" applyBorder="1" applyAlignment="1">
      <alignment horizontal="left" vertical="center" wrapText="1"/>
    </xf>
    <xf numFmtId="0" fontId="56" fillId="0" borderId="1" xfId="12" applyFont="1" applyBorder="1" applyAlignment="1">
      <alignment vertical="center" wrapText="1"/>
    </xf>
    <xf numFmtId="0" fontId="55" fillId="0" borderId="1" xfId="12" applyFont="1" applyBorder="1" applyAlignment="1">
      <alignment vertical="center" wrapText="1"/>
    </xf>
    <xf numFmtId="0" fontId="56" fillId="0" borderId="1" xfId="12" applyFont="1" applyBorder="1" applyAlignment="1">
      <alignment horizontal="center" vertical="center" wrapText="1"/>
    </xf>
    <xf numFmtId="0" fontId="60" fillId="0" borderId="1" xfId="5" applyBorder="1" applyAlignment="1" applyProtection="1">
      <alignment horizontal="left" vertical="center" wrapText="1"/>
    </xf>
    <xf numFmtId="0" fontId="55" fillId="0" borderId="1" xfId="88" applyFont="1" applyBorder="1" applyAlignment="1">
      <alignment horizontal="left" vertical="center" wrapText="1"/>
    </xf>
    <xf numFmtId="0" fontId="55" fillId="0" borderId="1" xfId="91" applyFont="1" applyBorder="1" applyAlignment="1">
      <alignment horizontal="left" vertical="center" wrapText="1"/>
    </xf>
    <xf numFmtId="0" fontId="54" fillId="0" borderId="1" xfId="42" applyFont="1" applyBorder="1" applyAlignment="1" applyProtection="1">
      <alignment horizontal="left" vertical="center" wrapText="1"/>
    </xf>
    <xf numFmtId="0" fontId="55" fillId="0" borderId="1" xfId="95" applyFont="1" applyBorder="1" applyAlignment="1">
      <alignment horizontal="left" vertical="center" wrapText="1"/>
    </xf>
    <xf numFmtId="0" fontId="55" fillId="0" borderId="1" xfId="103" applyFont="1" applyBorder="1" applyAlignment="1">
      <alignment horizontal="left" vertical="center" wrapText="1"/>
    </xf>
    <xf numFmtId="0" fontId="55" fillId="0" borderId="1" xfId="104" applyFont="1" applyBorder="1" applyAlignment="1">
      <alignment horizontal="left" vertical="center" wrapText="1"/>
    </xf>
    <xf numFmtId="0" fontId="55" fillId="0" borderId="1" xfId="104" applyFont="1" applyBorder="1" applyAlignment="1">
      <alignment horizontal="left" vertical="center" wrapText="1"/>
    </xf>
    <xf numFmtId="0" fontId="55" fillId="0" borderId="1" xfId="46" applyFont="1" applyBorder="1" applyAlignment="1">
      <alignment horizontal="justify" vertical="center" wrapText="1"/>
    </xf>
    <xf numFmtId="0" fontId="55" fillId="16" borderId="1" xfId="47" applyFont="1" applyFill="1" applyBorder="1" applyAlignment="1">
      <alignment horizontal="justify" vertical="center" wrapText="1"/>
    </xf>
    <xf numFmtId="0" fontId="55" fillId="0" borderId="1" xfId="48" applyFont="1" applyBorder="1" applyAlignment="1">
      <alignment horizontal="justify" vertical="center" wrapText="1"/>
    </xf>
    <xf numFmtId="0" fontId="55" fillId="0" borderId="0" xfId="49" applyFont="1" applyAlignment="1">
      <alignment horizontal="justify" vertical="center" wrapText="1"/>
    </xf>
    <xf numFmtId="0" fontId="55" fillId="0" borderId="1" xfId="50" applyFont="1" applyBorder="1" applyAlignment="1">
      <alignment horizontal="justify" vertical="center" wrapText="1"/>
    </xf>
    <xf numFmtId="0" fontId="55" fillId="0" borderId="1" xfId="51" applyFont="1" applyBorder="1" applyAlignment="1">
      <alignment horizontal="justify" vertical="center" wrapText="1"/>
    </xf>
    <xf numFmtId="0" fontId="55" fillId="0" borderId="1" xfId="52" applyFont="1" applyBorder="1" applyAlignment="1">
      <alignment horizontal="justify" vertical="center" wrapText="1"/>
    </xf>
    <xf numFmtId="0" fontId="55" fillId="0" borderId="1" xfId="53" applyFont="1" applyBorder="1" applyAlignment="1">
      <alignment horizontal="justify" vertical="center" wrapText="1"/>
    </xf>
    <xf numFmtId="0" fontId="55" fillId="16" borderId="1" xfId="55" applyFont="1" applyFill="1" applyBorder="1" applyAlignment="1">
      <alignment horizontal="justify" vertical="center" wrapText="1"/>
    </xf>
    <xf numFmtId="0" fontId="55" fillId="0" borderId="1" xfId="56" applyFont="1" applyBorder="1" applyAlignment="1">
      <alignment horizontal="justify" vertical="center" wrapText="1"/>
    </xf>
    <xf numFmtId="0" fontId="55" fillId="16" borderId="8" xfId="57" applyFont="1" applyFill="1" applyBorder="1" applyAlignment="1">
      <alignment horizontal="justify" vertical="center" wrapText="1"/>
    </xf>
    <xf numFmtId="0" fontId="57" fillId="0" borderId="1" xfId="59" applyFont="1" applyBorder="1" applyAlignment="1">
      <alignment horizontal="justify" wrapText="1"/>
    </xf>
    <xf numFmtId="0" fontId="57" fillId="16" borderId="1" xfId="60" applyFont="1" applyFill="1" applyBorder="1" applyAlignment="1">
      <alignment horizontal="justify" vertical="center" wrapText="1"/>
    </xf>
    <xf numFmtId="0" fontId="57" fillId="0" borderId="1" xfId="61" applyFont="1" applyBorder="1" applyAlignment="1">
      <alignment horizontal="justify" vertical="center"/>
    </xf>
    <xf numFmtId="0" fontId="57" fillId="0" borderId="1" xfId="62" applyFont="1" applyBorder="1" applyAlignment="1">
      <alignment horizontal="justify" vertical="center" wrapText="1"/>
    </xf>
    <xf numFmtId="0" fontId="57" fillId="16" borderId="1" xfId="63" applyFont="1" applyFill="1" applyBorder="1" applyAlignment="1">
      <alignment horizontal="justify" vertical="center" wrapText="1"/>
    </xf>
    <xf numFmtId="0" fontId="57" fillId="0" borderId="1" xfId="64" applyFont="1" applyBorder="1" applyAlignment="1">
      <alignment horizontal="justify" vertical="center"/>
    </xf>
    <xf numFmtId="0" fontId="57" fillId="0" borderId="1" xfId="65" applyFont="1" applyBorder="1" applyAlignment="1">
      <alignment horizontal="justify" vertical="center"/>
    </xf>
    <xf numFmtId="0" fontId="57" fillId="0" borderId="1" xfId="66" applyFont="1" applyBorder="1" applyAlignment="1">
      <alignment horizontal="justify" vertical="center"/>
    </xf>
    <xf numFmtId="0" fontId="57" fillId="0" borderId="1" xfId="68" applyFont="1" applyBorder="1" applyAlignment="1">
      <alignment horizontal="justify" vertical="center" wrapText="1"/>
    </xf>
    <xf numFmtId="0" fontId="55" fillId="0" borderId="1" xfId="70" applyFont="1" applyBorder="1" applyAlignment="1">
      <alignment horizontal="justify" vertical="top" wrapText="1"/>
    </xf>
    <xf numFmtId="0" fontId="57" fillId="0" borderId="1" xfId="71" applyFont="1" applyBorder="1" applyAlignment="1">
      <alignment horizontal="justify" vertical="center" wrapText="1"/>
    </xf>
    <xf numFmtId="0" fontId="55" fillId="0" borderId="1" xfId="34" applyFont="1" applyBorder="1" applyAlignment="1">
      <alignment horizontal="left" vertical="center" wrapText="1"/>
    </xf>
    <xf numFmtId="0" fontId="55" fillId="0" borderId="1" xfId="35" applyFont="1" applyBorder="1" applyAlignment="1">
      <alignment horizontal="left" vertical="center" wrapText="1"/>
    </xf>
    <xf numFmtId="0" fontId="57" fillId="0" borderId="1" xfId="35" applyFont="1" applyBorder="1" applyAlignment="1">
      <alignment horizontal="left" vertical="center" wrapText="1"/>
    </xf>
    <xf numFmtId="0" fontId="57" fillId="0" borderId="1" xfId="8" applyFont="1" applyBorder="1" applyAlignment="1">
      <alignment horizontal="left" vertical="center" wrapText="1"/>
    </xf>
    <xf numFmtId="0" fontId="60" fillId="0" borderId="1" xfId="5" applyBorder="1" applyAlignment="1">
      <alignment horizontal="left" vertical="center" wrapText="1"/>
    </xf>
    <xf numFmtId="0" fontId="55" fillId="0" borderId="1" xfId="75" applyFont="1" applyBorder="1" applyAlignment="1">
      <alignment horizontal="left" vertical="center" wrapText="1"/>
    </xf>
    <xf numFmtId="0" fontId="55" fillId="0" borderId="1" xfId="76" applyFont="1" applyBorder="1" applyAlignment="1">
      <alignment horizontal="left" vertical="center" wrapText="1"/>
    </xf>
    <xf numFmtId="0" fontId="60" fillId="0" borderId="1" xfId="5" applyBorder="1" applyAlignment="1">
      <alignment horizontal="left" vertical="center" wrapText="1"/>
    </xf>
    <xf numFmtId="0" fontId="55" fillId="0" borderId="1" xfId="17" applyFont="1" applyBorder="1" applyAlignment="1">
      <alignment horizontal="left" vertical="center" wrapText="1"/>
    </xf>
    <xf numFmtId="0" fontId="55" fillId="0" borderId="1" xfId="24" applyFont="1" applyBorder="1" applyAlignment="1">
      <alignment horizontal="left" vertical="center" wrapText="1"/>
    </xf>
    <xf numFmtId="0" fontId="55" fillId="0" borderId="1" xfId="25" applyFont="1" applyBorder="1" applyAlignment="1">
      <alignment horizontal="left" vertical="center" wrapText="1"/>
    </xf>
    <xf numFmtId="0" fontId="55" fillId="0" borderId="1" xfId="27" applyFont="1" applyBorder="1" applyAlignment="1">
      <alignment horizontal="left" vertical="center" wrapText="1"/>
    </xf>
    <xf numFmtId="0" fontId="55" fillId="0" borderId="1" xfId="29" applyFont="1" applyBorder="1" applyAlignment="1">
      <alignment horizontal="left" vertical="center" wrapText="1"/>
    </xf>
    <xf numFmtId="0" fontId="55" fillId="0" borderId="1" xfId="30" applyFont="1" applyBorder="1" applyAlignment="1">
      <alignment horizontal="left" vertical="center" wrapText="1"/>
    </xf>
    <xf numFmtId="0" fontId="55" fillId="0" borderId="1" xfId="32" applyFont="1" applyBorder="1" applyAlignment="1">
      <alignment horizontal="left" vertical="center" wrapText="1"/>
    </xf>
    <xf numFmtId="0" fontId="68" fillId="0" borderId="1" xfId="12" applyFont="1" applyFill="1" applyBorder="1" applyAlignment="1">
      <alignment horizontal="left" vertical="center" wrapText="1"/>
    </xf>
    <xf numFmtId="0" fontId="68" fillId="0" borderId="1" xfId="12" applyFont="1" applyFill="1" applyBorder="1" applyAlignment="1">
      <alignment vertical="center" wrapText="1"/>
    </xf>
    <xf numFmtId="0" fontId="55" fillId="0" borderId="1" xfId="12" applyFont="1" applyFill="1" applyBorder="1" applyAlignment="1">
      <alignment horizontal="left" vertical="center" wrapText="1"/>
    </xf>
    <xf numFmtId="0" fontId="57" fillId="0" borderId="1" xfId="12" applyFont="1" applyFill="1" applyBorder="1" applyAlignment="1">
      <alignment horizontal="left" vertical="center" wrapText="1"/>
    </xf>
    <xf numFmtId="0" fontId="55" fillId="0" borderId="1" xfId="12" applyFont="1" applyFill="1" applyBorder="1" applyAlignment="1">
      <alignment horizontal="left" vertical="center" wrapText="1"/>
    </xf>
    <xf numFmtId="0" fontId="57" fillId="0" borderId="1" xfId="12" applyFont="1" applyFill="1" applyBorder="1" applyAlignment="1">
      <alignment horizontal="left" vertical="center" wrapText="1"/>
    </xf>
    <xf numFmtId="0" fontId="70" fillId="0" borderId="1" xfId="12" applyFont="1" applyFill="1" applyBorder="1" applyAlignment="1">
      <alignment horizontal="left" vertical="center" wrapText="1"/>
    </xf>
    <xf numFmtId="0" fontId="55" fillId="0" borderId="1" xfId="12" applyFont="1" applyFill="1" applyBorder="1" applyAlignment="1">
      <alignment horizontal="left" vertical="center" wrapText="1"/>
    </xf>
    <xf numFmtId="0" fontId="57" fillId="0" borderId="1" xfId="12" applyFont="1" applyFill="1" applyBorder="1" applyAlignment="1">
      <alignment horizontal="left" vertical="center" wrapText="1"/>
    </xf>
    <xf numFmtId="0" fontId="55" fillId="0" borderId="1" xfId="12" applyFont="1" applyFill="1" applyBorder="1" applyAlignment="1">
      <alignment vertical="center" wrapText="1"/>
    </xf>
    <xf numFmtId="0" fontId="71" fillId="0" borderId="0" xfId="12" applyFont="1" applyFill="1" applyBorder="1" applyAlignment="1">
      <alignment horizontal="left" vertical="center" wrapText="1"/>
    </xf>
    <xf numFmtId="0" fontId="55" fillId="0" borderId="1" xfId="12" applyFont="1" applyFill="1" applyBorder="1" applyAlignment="1">
      <alignment horizontal="left" vertical="center" wrapText="1"/>
    </xf>
    <xf numFmtId="0" fontId="55" fillId="0" borderId="1" xfId="12" applyFont="1" applyFill="1" applyBorder="1" applyAlignment="1">
      <alignment horizontal="left" vertical="center" wrapText="1"/>
    </xf>
    <xf numFmtId="0" fontId="57" fillId="0" borderId="1" xfId="12" applyFont="1" applyFill="1" applyBorder="1" applyAlignment="1">
      <alignment horizontal="left" vertical="center" wrapText="1"/>
    </xf>
    <xf numFmtId="0" fontId="70" fillId="0" borderId="0" xfId="12" applyFont="1" applyFill="1" applyBorder="1" applyAlignment="1">
      <alignment vertical="center" wrapText="1"/>
    </xf>
    <xf numFmtId="0" fontId="55" fillId="0" borderId="1" xfId="12" applyFont="1" applyFill="1" applyBorder="1" applyAlignment="1">
      <alignment horizontal="left" vertical="center" wrapText="1"/>
    </xf>
    <xf numFmtId="0" fontId="57" fillId="0" borderId="1" xfId="145" applyFont="1" applyFill="1" applyBorder="1" applyAlignment="1">
      <alignment horizontal="left" vertical="center" wrapText="1"/>
    </xf>
    <xf numFmtId="0" fontId="68" fillId="0" borderId="1" xfId="12" applyFont="1" applyFill="1" applyBorder="1" applyAlignment="1">
      <alignment vertical="center" wrapText="1"/>
    </xf>
    <xf numFmtId="0" fontId="55" fillId="0" borderId="1" xfId="12" applyFont="1" applyFill="1" applyBorder="1" applyAlignment="1">
      <alignment horizontal="left" vertical="center" wrapText="1"/>
    </xf>
    <xf numFmtId="0" fontId="72" fillId="0" borderId="1" xfId="12" applyFont="1" applyFill="1" applyBorder="1" applyAlignment="1">
      <alignment horizontal="left" vertical="center" wrapText="1"/>
    </xf>
    <xf numFmtId="0" fontId="62" fillId="0" borderId="1" xfId="38" applyFill="1" applyBorder="1" applyAlignment="1">
      <alignment horizontal="left" vertical="center" wrapText="1"/>
    </xf>
    <xf numFmtId="0" fontId="55" fillId="0" borderId="1" xfId="12" applyFont="1" applyFill="1" applyBorder="1" applyAlignment="1">
      <alignment horizontal="left" vertical="center" wrapText="1"/>
    </xf>
    <xf numFmtId="0" fontId="55" fillId="0" borderId="1" xfId="12" applyFont="1" applyFill="1" applyBorder="1" applyAlignment="1">
      <alignment horizontal="left" vertical="center" wrapText="1"/>
    </xf>
    <xf numFmtId="0" fontId="62" fillId="0" borderId="1" xfId="38" applyFill="1" applyBorder="1" applyAlignment="1">
      <alignment horizontal="left" vertical="center" wrapText="1"/>
    </xf>
    <xf numFmtId="0" fontId="62" fillId="0" borderId="1" xfId="38" applyFill="1" applyBorder="1" applyAlignment="1">
      <alignment horizontal="left" vertical="center" wrapText="1"/>
    </xf>
    <xf numFmtId="0" fontId="55" fillId="0" borderId="1" xfId="12" applyFont="1" applyFill="1" applyBorder="1" applyAlignment="1">
      <alignment horizontal="left" vertical="center" wrapText="1"/>
    </xf>
    <xf numFmtId="0" fontId="68" fillId="0" borderId="1" xfId="12" applyFont="1" applyFill="1" applyBorder="1" applyAlignment="1">
      <alignment vertical="center" wrapText="1"/>
    </xf>
    <xf numFmtId="0" fontId="62" fillId="0" borderId="1" xfId="38" applyFill="1" applyBorder="1" applyAlignment="1">
      <alignment horizontal="left" vertical="center" wrapText="1"/>
    </xf>
    <xf numFmtId="0" fontId="55" fillId="0" borderId="4" xfId="12" applyFont="1" applyFill="1" applyBorder="1" applyAlignment="1">
      <alignment horizontal="left" vertical="center" wrapText="1"/>
    </xf>
    <xf numFmtId="0" fontId="55" fillId="0" borderId="1" xfId="12" applyFont="1" applyFill="1" applyBorder="1" applyAlignment="1">
      <alignment horizontal="left" vertical="center" wrapText="1"/>
    </xf>
    <xf numFmtId="0" fontId="69" fillId="0" borderId="1" xfId="12" applyFont="1" applyFill="1" applyBorder="1" applyAlignment="1">
      <alignment vertical="center" wrapText="1"/>
    </xf>
    <xf numFmtId="0" fontId="68" fillId="0" borderId="1" xfId="12" applyFont="1" applyFill="1" applyBorder="1" applyAlignment="1">
      <alignment vertical="center" wrapText="1"/>
    </xf>
    <xf numFmtId="0" fontId="57" fillId="0" borderId="1" xfId="12" applyFont="1" applyFill="1" applyBorder="1" applyAlignment="1">
      <alignment vertical="center" wrapText="1"/>
    </xf>
    <xf numFmtId="0" fontId="57" fillId="0" borderId="1" xfId="12" applyFont="1" applyFill="1" applyBorder="1" applyAlignment="1">
      <alignment horizontal="left" vertical="center" wrapText="1"/>
    </xf>
    <xf numFmtId="0" fontId="62" fillId="0" borderId="1" xfId="38" applyFill="1" applyBorder="1" applyAlignment="1">
      <alignment vertical="center" wrapText="1"/>
    </xf>
    <xf numFmtId="0" fontId="68" fillId="0" borderId="1" xfId="12" applyFont="1" applyFill="1" applyBorder="1" applyAlignment="1">
      <alignment horizontal="left" vertical="center" wrapText="1"/>
    </xf>
    <xf numFmtId="0" fontId="60" fillId="0" borderId="0" xfId="5" applyAlignment="1">
      <alignment vertical="center" wrapText="1"/>
    </xf>
    <xf numFmtId="0" fontId="60" fillId="0" borderId="0" xfId="5" applyBorder="1" applyAlignment="1">
      <alignment vertical="center" wrapText="1"/>
    </xf>
    <xf numFmtId="0" fontId="55" fillId="0" borderId="1" xfId="12" applyFont="1" applyFill="1" applyBorder="1" applyAlignment="1">
      <alignment horizontal="left" vertical="center" wrapText="1"/>
    </xf>
    <xf numFmtId="0" fontId="55" fillId="0" borderId="1" xfId="12" applyFont="1" applyFill="1" applyBorder="1" applyAlignment="1">
      <alignment horizontal="left" vertical="center" wrapText="1"/>
    </xf>
    <xf numFmtId="0" fontId="55" fillId="0" borderId="1" xfId="12" applyFont="1" applyFill="1" applyBorder="1" applyAlignment="1">
      <alignment horizontal="left" vertical="center" wrapText="1"/>
    </xf>
    <xf numFmtId="0" fontId="57" fillId="0" borderId="1" xfId="12" applyFont="1" applyFill="1" applyBorder="1" applyAlignment="1">
      <alignment horizontal="left" vertical="center" wrapText="1"/>
    </xf>
    <xf numFmtId="0" fontId="68" fillId="0" borderId="1" xfId="12" applyFont="1" applyFill="1" applyBorder="1" applyAlignment="1">
      <alignment horizontal="center" vertical="center" wrapText="1"/>
    </xf>
    <xf numFmtId="0" fontId="68" fillId="0" borderId="1" xfId="12" applyFont="1" applyFill="1" applyBorder="1" applyAlignment="1">
      <alignment horizontal="center" vertical="center" wrapText="1"/>
    </xf>
    <xf numFmtId="0" fontId="55" fillId="0" borderId="8" xfId="12" applyFont="1" applyFill="1" applyBorder="1" applyAlignment="1">
      <alignment horizontal="left" vertical="center" wrapText="1"/>
    </xf>
    <xf numFmtId="0" fontId="55" fillId="0" borderId="0" xfId="12" applyFont="1" applyFill="1" applyBorder="1" applyAlignment="1">
      <alignment horizontal="left" vertical="center" wrapText="1"/>
    </xf>
    <xf numFmtId="0" fontId="55" fillId="0" borderId="32" xfId="12" applyFont="1" applyFill="1" applyBorder="1" applyAlignment="1">
      <alignment horizontal="left" vertical="center" wrapText="1"/>
    </xf>
    <xf numFmtId="0" fontId="55" fillId="0" borderId="1" xfId="12" applyFont="1" applyBorder="1" applyAlignment="1">
      <alignment horizontal="left" vertical="center" wrapText="1"/>
    </xf>
    <xf numFmtId="0" fontId="62" fillId="0" borderId="1" xfId="38" applyFill="1" applyBorder="1" applyAlignment="1">
      <alignment horizontal="left" vertical="center" wrapText="1"/>
    </xf>
    <xf numFmtId="0" fontId="55" fillId="0" borderId="1" xfId="12" applyFont="1" applyFill="1" applyBorder="1" applyAlignment="1">
      <alignment horizontal="left" vertical="center" wrapText="1"/>
    </xf>
    <xf numFmtId="0" fontId="55" fillId="0" borderId="9" xfId="41" applyFont="1" applyFill="1" applyBorder="1" applyAlignment="1">
      <alignment horizontal="left" vertical="center" wrapText="1"/>
    </xf>
    <xf numFmtId="0" fontId="0" fillId="0" borderId="0" xfId="0" applyFont="1" applyAlignment="1">
      <alignment wrapText="1"/>
    </xf>
    <xf numFmtId="0" fontId="55" fillId="0" borderId="1" xfId="94" applyFont="1" applyBorder="1" applyAlignment="1">
      <alignment horizontal="left" vertical="center" wrapText="1"/>
    </xf>
    <xf numFmtId="0" fontId="57" fillId="0" borderId="1" xfId="12" applyFont="1" applyBorder="1" applyAlignment="1">
      <alignment horizontal="center" vertical="center" wrapText="1"/>
    </xf>
    <xf numFmtId="0" fontId="55" fillId="16" borderId="1" xfId="94" applyFont="1" applyFill="1" applyBorder="1" applyAlignment="1">
      <alignment horizontal="left" vertical="center" wrapText="1"/>
    </xf>
    <xf numFmtId="0" fontId="69" fillId="16" borderId="1" xfId="0" applyFont="1" applyFill="1" applyBorder="1" applyAlignment="1">
      <alignment horizontal="center" vertical="center"/>
    </xf>
    <xf numFmtId="0" fontId="55" fillId="0" borderId="1" xfId="97" applyFont="1" applyBorder="1" applyAlignment="1">
      <alignment vertical="center" wrapText="1"/>
    </xf>
    <xf numFmtId="0" fontId="55" fillId="0" borderId="1" xfId="97" applyFont="1" applyBorder="1" applyAlignment="1">
      <alignment horizontal="left" vertical="center" wrapText="1"/>
    </xf>
    <xf numFmtId="0" fontId="71" fillId="0" borderId="0" xfId="0" applyFont="1" applyAlignment="1">
      <alignment wrapText="1"/>
    </xf>
    <xf numFmtId="0" fontId="60" fillId="0" borderId="0" xfId="5" applyAlignment="1">
      <alignment vertical="center"/>
    </xf>
    <xf numFmtId="0" fontId="68" fillId="0" borderId="1" xfId="0" applyFont="1" applyBorder="1" applyAlignment="1">
      <alignment vertical="center" wrapText="1"/>
    </xf>
    <xf numFmtId="0" fontId="13" fillId="8" borderId="15" xfId="0" applyFont="1" applyFill="1" applyBorder="1" applyAlignment="1">
      <alignment horizontal="center" vertical="center" wrapText="1"/>
    </xf>
    <xf numFmtId="0" fontId="13" fillId="0" borderId="7" xfId="0" applyFont="1" applyBorder="1" applyAlignment="1">
      <alignment horizontal="center" vertical="center" wrapText="1"/>
    </xf>
    <xf numFmtId="0" fontId="13" fillId="0" borderId="32" xfId="0" applyFont="1" applyBorder="1" applyAlignment="1">
      <alignment vertical="center" wrapText="1"/>
    </xf>
    <xf numFmtId="0" fontId="67" fillId="0" borderId="1" xfId="0" applyFont="1" applyBorder="1" applyAlignment="1">
      <alignment vertical="center"/>
    </xf>
    <xf numFmtId="0" fontId="69" fillId="0" borderId="1" xfId="0" applyFont="1" applyBorder="1" applyAlignment="1">
      <alignment horizontal="left" vertical="center" wrapText="1"/>
    </xf>
    <xf numFmtId="0" fontId="68" fillId="0" borderId="1" xfId="0" applyFont="1" applyBorder="1" applyAlignment="1">
      <alignment horizontal="left" vertical="center" wrapText="1"/>
    </xf>
    <xf numFmtId="0" fontId="55" fillId="0" borderId="1" xfId="0" applyFont="1" applyBorder="1" applyAlignment="1">
      <alignment horizontal="left" vertical="center" wrapText="1"/>
    </xf>
    <xf numFmtId="0" fontId="73" fillId="3" borderId="1" xfId="0" applyFont="1" applyFill="1" applyBorder="1" applyAlignment="1">
      <alignment horizontal="center" vertical="center" wrapText="1"/>
    </xf>
    <xf numFmtId="0" fontId="56" fillId="0" borderId="1" xfId="0" applyFont="1" applyBorder="1" applyAlignment="1">
      <alignment horizontal="left" vertical="center" wrapText="1"/>
    </xf>
    <xf numFmtId="0" fontId="57" fillId="0" borderId="1" xfId="0" applyFont="1" applyBorder="1" applyAlignment="1">
      <alignment horizontal="left" vertical="center" wrapText="1"/>
    </xf>
    <xf numFmtId="0" fontId="60" fillId="0" borderId="0" xfId="5" applyBorder="1" applyAlignment="1">
      <alignment vertical="center"/>
    </xf>
    <xf numFmtId="0" fontId="60" fillId="0" borderId="1" xfId="5" applyBorder="1" applyAlignment="1" applyProtection="1">
      <alignment horizontal="left" vertical="center"/>
    </xf>
    <xf numFmtId="0" fontId="60" fillId="0" borderId="1" xfId="5" applyBorder="1" applyAlignment="1" applyProtection="1">
      <alignment vertical="center"/>
    </xf>
    <xf numFmtId="0" fontId="66" fillId="0" borderId="1" xfId="263" applyFont="1" applyBorder="1" applyAlignment="1" applyProtection="1">
      <alignment vertical="center"/>
    </xf>
    <xf numFmtId="0" fontId="62" fillId="0" borderId="1" xfId="263" applyFont="1" applyBorder="1" applyAlignment="1" applyProtection="1">
      <alignment vertical="center"/>
    </xf>
    <xf numFmtId="0" fontId="66" fillId="0" borderId="1" xfId="263" applyFont="1" applyBorder="1" applyAlignment="1" applyProtection="1"/>
    <xf numFmtId="0" fontId="66" fillId="16" borderId="1" xfId="263" applyFont="1" applyFill="1" applyBorder="1" applyAlignment="1" applyProtection="1">
      <alignment vertical="center"/>
    </xf>
    <xf numFmtId="0" fontId="60" fillId="0" borderId="4" xfId="5" applyBorder="1" applyAlignment="1" applyProtection="1">
      <alignment vertical="center"/>
    </xf>
    <xf numFmtId="0" fontId="66" fillId="0" borderId="4" xfId="263" applyFont="1" applyBorder="1" applyAlignment="1" applyProtection="1">
      <alignment vertical="center"/>
    </xf>
    <xf numFmtId="0" fontId="62" fillId="0" borderId="1" xfId="42" applyFont="1" applyBorder="1" applyAlignment="1" applyProtection="1">
      <alignment horizontal="left" vertical="center"/>
    </xf>
    <xf numFmtId="0" fontId="62" fillId="0" borderId="0" xfId="5" applyFont="1" applyAlignment="1">
      <alignment vertical="center"/>
    </xf>
    <xf numFmtId="0" fontId="55" fillId="0" borderId="1" xfId="12" applyFont="1" applyBorder="1" applyAlignment="1">
      <alignment horizontal="justify" vertical="center" wrapText="1"/>
    </xf>
    <xf numFmtId="0" fontId="55" fillId="0" borderId="1" xfId="12" applyFont="1" applyBorder="1" applyAlignment="1">
      <alignment horizontal="justify" vertical="center" wrapText="1"/>
    </xf>
    <xf numFmtId="0" fontId="55" fillId="0" borderId="1" xfId="12" applyFont="1" applyBorder="1" applyAlignment="1">
      <alignment horizontal="justify" vertical="center" wrapText="1"/>
    </xf>
    <xf numFmtId="0" fontId="1" fillId="0" borderId="2" xfId="0" applyFont="1" applyBorder="1" applyAlignment="1">
      <alignment vertical="center"/>
    </xf>
    <xf numFmtId="0" fontId="60" fillId="0" borderId="34" xfId="5" applyBorder="1" applyAlignment="1">
      <alignment vertical="center"/>
    </xf>
    <xf numFmtId="0" fontId="55" fillId="16" borderId="1" xfId="97" applyFont="1" applyFill="1" applyBorder="1" applyAlignment="1">
      <alignment horizontal="left" vertical="center" wrapText="1"/>
    </xf>
    <xf numFmtId="0" fontId="55" fillId="0" borderId="1" xfId="102" applyFont="1" applyBorder="1" applyAlignment="1">
      <alignment vertical="center" wrapText="1"/>
    </xf>
    <xf numFmtId="0" fontId="55" fillId="0" borderId="1" xfId="94" applyFont="1" applyBorder="1" applyAlignment="1">
      <alignment vertical="center" wrapText="1"/>
    </xf>
    <xf numFmtId="0" fontId="57" fillId="0" borderId="1" xfId="95" applyFont="1" applyBorder="1" applyAlignment="1">
      <alignment vertical="center" wrapText="1"/>
    </xf>
    <xf numFmtId="0" fontId="74" fillId="0" borderId="0" xfId="0" applyFont="1" applyAlignment="1">
      <alignment wrapText="1"/>
    </xf>
    <xf numFmtId="0" fontId="55" fillId="0" borderId="1" xfId="98" applyFont="1" applyBorder="1" applyAlignment="1">
      <alignment vertical="center" wrapText="1"/>
    </xf>
    <xf numFmtId="0" fontId="57" fillId="0" borderId="1" xfId="101" applyFont="1" applyBorder="1" applyAlignment="1">
      <alignment vertical="center" wrapText="1"/>
    </xf>
    <xf numFmtId="0" fontId="57" fillId="0" borderId="1" xfId="100" applyFont="1" applyBorder="1" applyAlignment="1">
      <alignment vertical="center" wrapText="1"/>
    </xf>
    <xf numFmtId="0" fontId="67" fillId="0" borderId="0" xfId="0" applyFont="1" applyAlignment="1">
      <alignment vertical="center"/>
    </xf>
    <xf numFmtId="0" fontId="60" fillId="0" borderId="0" xfId="5" applyAlignment="1"/>
    <xf numFmtId="0" fontId="71" fillId="0" borderId="0" xfId="0" applyFont="1" applyAlignment="1">
      <alignment vertical="center" wrapText="1"/>
    </xf>
    <xf numFmtId="0" fontId="54" fillId="0" borderId="1" xfId="5" applyFont="1" applyBorder="1" applyAlignment="1">
      <alignment horizontal="left" vertical="center" wrapText="1"/>
    </xf>
    <xf numFmtId="0" fontId="0" fillId="0" borderId="0" xfId="0" applyAlignment="1">
      <alignment wrapText="1"/>
    </xf>
    <xf numFmtId="0" fontId="0" fillId="0" borderId="33" xfId="0" applyBorder="1" applyAlignment="1">
      <alignment wrapText="1"/>
    </xf>
    <xf numFmtId="0" fontId="67" fillId="0" borderId="0" xfId="12" applyFont="1" applyFill="1" applyBorder="1" applyAlignment="1">
      <alignment vertical="center" wrapText="1"/>
    </xf>
    <xf numFmtId="0" fontId="55" fillId="16" borderId="1" xfId="97" applyFont="1" applyFill="1" applyBorder="1" applyAlignment="1">
      <alignment horizontal="left" vertical="center"/>
    </xf>
    <xf numFmtId="0" fontId="60" fillId="0" borderId="0" xfId="5" applyAlignment="1">
      <alignment wrapText="1"/>
    </xf>
    <xf numFmtId="0" fontId="69" fillId="0" borderId="1" xfId="0" applyFont="1" applyBorder="1" applyAlignment="1">
      <alignment horizontal="center" vertical="center"/>
    </xf>
    <xf numFmtId="0" fontId="0" fillId="0" borderId="0" xfId="0" applyFont="1" applyAlignment="1"/>
    <xf numFmtId="0" fontId="0" fillId="0" borderId="32" xfId="0" applyFont="1" applyBorder="1" applyAlignment="1"/>
    <xf numFmtId="0" fontId="57" fillId="0" borderId="1" xfId="0" applyFont="1" applyBorder="1" applyAlignment="1">
      <alignment horizontal="left" vertical="center"/>
    </xf>
    <xf numFmtId="0" fontId="57" fillId="0" borderId="1" xfId="12" applyFont="1" applyBorder="1" applyAlignment="1">
      <alignment vertical="center" wrapText="1"/>
    </xf>
    <xf numFmtId="0" fontId="55" fillId="0" borderId="6" xfId="0" applyFont="1" applyBorder="1" applyAlignment="1">
      <alignment horizontal="left" vertical="center" wrapText="1"/>
    </xf>
    <xf numFmtId="0" fontId="13" fillId="16" borderId="1" xfId="0" applyFont="1" applyFill="1" applyBorder="1" applyAlignment="1">
      <alignment horizontal="center" vertical="center"/>
    </xf>
    <xf numFmtId="0" fontId="75" fillId="0" borderId="0" xfId="0" applyFont="1" applyAlignment="1">
      <alignment wrapText="1"/>
    </xf>
    <xf numFmtId="0" fontId="57" fillId="16" borderId="1" xfId="12" applyFont="1" applyFill="1" applyBorder="1" applyAlignment="1">
      <alignment horizontal="left" vertical="center" wrapText="1"/>
    </xf>
    <xf numFmtId="0" fontId="62" fillId="0" borderId="1" xfId="38" applyBorder="1" applyAlignment="1">
      <alignment horizontal="left" vertical="center" wrapText="1"/>
    </xf>
    <xf numFmtId="0" fontId="69" fillId="0" borderId="1" xfId="0" applyFont="1" applyFill="1" applyBorder="1" applyAlignment="1">
      <alignment horizontal="center" vertical="center" wrapText="1"/>
    </xf>
    <xf numFmtId="0" fontId="68" fillId="0" borderId="1" xfId="0" applyFont="1" applyFill="1" applyBorder="1" applyAlignment="1">
      <alignment horizontal="center" vertical="center" wrapText="1"/>
    </xf>
    <xf numFmtId="0" fontId="62" fillId="0" borderId="1" xfId="38" applyFill="1" applyBorder="1" applyAlignment="1">
      <alignment horizontal="center" vertical="center" wrapText="1"/>
    </xf>
    <xf numFmtId="0" fontId="55" fillId="0" borderId="1" xfId="0" applyFont="1" applyFill="1" applyBorder="1" applyAlignment="1">
      <alignment horizontal="left" vertical="center" wrapText="1"/>
    </xf>
    <xf numFmtId="0" fontId="62" fillId="0" borderId="35" xfId="38" applyFill="1" applyBorder="1" applyAlignment="1">
      <alignment horizontal="center" vertical="center" wrapText="1"/>
    </xf>
    <xf numFmtId="0" fontId="54" fillId="0" borderId="1" xfId="38" applyFont="1" applyFill="1" applyBorder="1" applyAlignment="1">
      <alignment horizontal="left" vertical="center" wrapText="1"/>
    </xf>
    <xf numFmtId="0" fontId="0" fillId="0" borderId="0" xfId="0"/>
    <xf numFmtId="0" fontId="54" fillId="0" borderId="1" xfId="38" applyFont="1" applyBorder="1" applyAlignment="1">
      <alignment horizontal="left" vertical="center" wrapText="1"/>
    </xf>
    <xf numFmtId="0" fontId="62" fillId="0" borderId="8" xfId="38" applyFill="1" applyBorder="1" applyAlignment="1">
      <alignment horizontal="left" vertical="center" wrapText="1"/>
    </xf>
    <xf numFmtId="0" fontId="0" fillId="0" borderId="32" xfId="0" applyBorder="1"/>
    <xf numFmtId="0" fontId="54" fillId="0" borderId="32" xfId="0" applyFont="1" applyBorder="1"/>
    <xf numFmtId="0" fontId="54" fillId="0" borderId="8" xfId="38" applyFont="1" applyFill="1" applyBorder="1" applyAlignment="1">
      <alignment horizontal="left" vertical="center" wrapText="1"/>
    </xf>
    <xf numFmtId="0" fontId="61" fillId="0" borderId="1" xfId="12" applyFont="1" applyFill="1" applyBorder="1" applyAlignment="1">
      <alignment horizontal="left" vertical="center" wrapText="1"/>
    </xf>
    <xf numFmtId="0" fontId="69" fillId="0" borderId="1" xfId="0" applyFont="1" applyBorder="1" applyAlignment="1">
      <alignment vertical="center" wrapText="1"/>
    </xf>
    <xf numFmtId="0" fontId="55" fillId="0" borderId="1" xfId="0" applyFont="1" applyBorder="1" applyAlignment="1">
      <alignment vertical="center" wrapText="1"/>
    </xf>
    <xf numFmtId="0" fontId="77" fillId="5" borderId="1" xfId="0" applyFont="1" applyFill="1" applyBorder="1" applyAlignment="1">
      <alignment vertical="center"/>
    </xf>
    <xf numFmtId="0" fontId="77" fillId="5" borderId="1" xfId="0" applyFont="1" applyFill="1" applyBorder="1" applyAlignment="1">
      <alignment vertical="center" wrapText="1"/>
    </xf>
    <xf numFmtId="0" fontId="76" fillId="7" borderId="12" xfId="0" applyFont="1" applyFill="1" applyBorder="1" applyAlignment="1">
      <alignment horizontal="center" vertical="center"/>
    </xf>
    <xf numFmtId="0" fontId="76" fillId="0" borderId="1" xfId="0" applyFont="1" applyBorder="1" applyAlignment="1">
      <alignment vertical="center" wrapText="1"/>
    </xf>
    <xf numFmtId="0" fontId="76" fillId="8" borderId="1" xfId="0" applyFont="1" applyFill="1" applyBorder="1" applyAlignment="1">
      <alignment horizontal="center" vertical="center" wrapText="1"/>
    </xf>
    <xf numFmtId="0" fontId="76" fillId="8" borderId="4" xfId="0" applyFont="1" applyFill="1" applyBorder="1" applyAlignment="1">
      <alignment horizontal="center" vertical="center" wrapText="1"/>
    </xf>
    <xf numFmtId="0" fontId="71" fillId="0" borderId="0" xfId="0" applyFont="1" applyAlignment="1"/>
    <xf numFmtId="0" fontId="69" fillId="0" borderId="2" xfId="0" applyFont="1" applyBorder="1" applyAlignment="1">
      <alignment horizontal="center" vertical="center" wrapText="1"/>
    </xf>
    <xf numFmtId="0" fontId="69" fillId="0" borderId="1" xfId="0" applyFont="1" applyBorder="1" applyAlignment="1">
      <alignment vertical="center"/>
    </xf>
    <xf numFmtId="0" fontId="69" fillId="6" borderId="5" xfId="0" applyFont="1" applyFill="1" applyBorder="1" applyAlignment="1">
      <alignment vertical="center"/>
    </xf>
    <xf numFmtId="0" fontId="69" fillId="0" borderId="5" xfId="0" applyFont="1" applyBorder="1" applyAlignment="1">
      <alignment horizontal="center" vertical="center"/>
    </xf>
    <xf numFmtId="0" fontId="68" fillId="0" borderId="4" xfId="12" applyFont="1" applyFill="1" applyBorder="1" applyAlignment="1">
      <alignment vertical="center" wrapText="1"/>
    </xf>
    <xf numFmtId="0" fontId="57" fillId="0" borderId="4" xfId="12" applyFont="1" applyFill="1" applyBorder="1" applyAlignment="1">
      <alignment horizontal="left" vertical="center" wrapText="1"/>
    </xf>
    <xf numFmtId="0" fontId="78" fillId="0" borderId="4" xfId="38" applyFont="1" applyFill="1" applyBorder="1" applyAlignment="1">
      <alignment horizontal="left" vertical="center" wrapText="1"/>
    </xf>
    <xf numFmtId="0" fontId="79" fillId="8" borderId="1" xfId="0" applyFont="1" applyFill="1" applyBorder="1" applyAlignment="1">
      <alignment horizontal="center" vertical="center" wrapText="1"/>
    </xf>
    <xf numFmtId="0" fontId="59" fillId="8" borderId="1" xfId="0" applyFont="1" applyFill="1" applyBorder="1" applyAlignment="1">
      <alignment horizontal="left" vertical="center" wrapText="1"/>
    </xf>
    <xf numFmtId="0" fontId="69" fillId="8" borderId="6" xfId="0" applyFont="1" applyFill="1" applyBorder="1" applyAlignment="1">
      <alignment horizontal="center" vertical="center" wrapText="1"/>
    </xf>
    <xf numFmtId="0" fontId="69" fillId="6" borderId="6" xfId="0" applyFont="1" applyFill="1" applyBorder="1" applyAlignment="1">
      <alignment horizontal="center" vertical="center" wrapText="1"/>
    </xf>
    <xf numFmtId="0" fontId="69" fillId="8" borderId="2" xfId="0" applyFont="1" applyFill="1" applyBorder="1" applyAlignment="1">
      <alignment horizontal="center" vertical="center" wrapText="1"/>
    </xf>
    <xf numFmtId="0" fontId="69" fillId="8" borderId="1" xfId="0" applyFont="1" applyFill="1" applyBorder="1" applyAlignment="1">
      <alignment horizontal="center" vertical="center" wrapText="1"/>
    </xf>
    <xf numFmtId="0" fontId="67" fillId="8" borderId="0" xfId="0" applyFont="1" applyFill="1" applyBorder="1" applyAlignment="1">
      <alignment vertical="center"/>
    </xf>
    <xf numFmtId="0" fontId="80" fillId="16" borderId="1" xfId="12" applyFont="1" applyFill="1" applyBorder="1" applyAlignment="1">
      <alignment horizontal="left" vertical="center" wrapText="1"/>
    </xf>
    <xf numFmtId="0" fontId="69" fillId="5" borderId="2" xfId="0" applyFont="1" applyFill="1" applyBorder="1" applyAlignment="1">
      <alignment horizontal="center" vertical="center" wrapText="1"/>
    </xf>
    <xf numFmtId="0" fontId="69" fillId="5" borderId="1" xfId="0" applyFont="1" applyFill="1" applyBorder="1" applyAlignment="1">
      <alignment horizontal="left" vertical="center" wrapText="1"/>
    </xf>
    <xf numFmtId="0" fontId="69" fillId="5" borderId="3" xfId="0" applyFont="1" applyFill="1" applyBorder="1" applyAlignment="1">
      <alignment horizontal="center" vertical="center"/>
    </xf>
    <xf numFmtId="0" fontId="69" fillId="6" borderId="1" xfId="0" applyFont="1" applyFill="1" applyBorder="1" applyAlignment="1">
      <alignment vertical="center"/>
    </xf>
    <xf numFmtId="0" fontId="69" fillId="5" borderId="1" xfId="0" applyFont="1" applyFill="1" applyBorder="1" applyAlignment="1">
      <alignment vertical="center"/>
    </xf>
    <xf numFmtId="0" fontId="69" fillId="5" borderId="1" xfId="0" applyFont="1" applyFill="1" applyBorder="1" applyAlignment="1">
      <alignment horizontal="center" vertical="center"/>
    </xf>
    <xf numFmtId="1" fontId="69" fillId="5" borderId="2" xfId="0" applyNumberFormat="1" applyFont="1" applyFill="1" applyBorder="1" applyAlignment="1">
      <alignment horizontal="center" vertical="center"/>
    </xf>
    <xf numFmtId="0" fontId="81" fillId="5" borderId="1" xfId="0" applyFont="1" applyFill="1" applyBorder="1" applyAlignment="1">
      <alignment vertical="center"/>
    </xf>
    <xf numFmtId="0" fontId="81" fillId="5" borderId="1" xfId="0" applyFont="1" applyFill="1" applyBorder="1" applyAlignment="1">
      <alignment vertical="center" wrapText="1"/>
    </xf>
    <xf numFmtId="0" fontId="69" fillId="0" borderId="1" xfId="0" applyFont="1" applyBorder="1" applyAlignment="1">
      <alignment horizontal="center" vertical="center" wrapText="1"/>
    </xf>
    <xf numFmtId="0" fontId="69" fillId="0" borderId="6" xfId="0" applyFont="1" applyBorder="1" applyAlignment="1">
      <alignment horizontal="left" vertical="center" wrapText="1"/>
    </xf>
    <xf numFmtId="0" fontId="69" fillId="0" borderId="6" xfId="0" applyFont="1" applyBorder="1" applyAlignment="1">
      <alignment horizontal="center" vertical="center"/>
    </xf>
    <xf numFmtId="0" fontId="69" fillId="6" borderId="6" xfId="0" applyFont="1" applyFill="1" applyBorder="1" applyAlignment="1">
      <alignment horizontal="center" vertical="center"/>
    </xf>
    <xf numFmtId="0" fontId="69" fillId="7" borderId="6" xfId="0" applyFont="1" applyFill="1" applyBorder="1" applyAlignment="1">
      <alignment horizontal="center" vertical="center" wrapText="1"/>
    </xf>
    <xf numFmtId="0" fontId="69" fillId="7" borderId="5" xfId="0" applyFont="1" applyFill="1" applyBorder="1" applyAlignment="1">
      <alignment horizontal="center" vertical="center" wrapText="1"/>
    </xf>
    <xf numFmtId="0" fontId="69" fillId="7" borderId="1" xfId="0" applyFont="1" applyFill="1" applyBorder="1" applyAlignment="1">
      <alignment horizontal="center" vertical="center"/>
    </xf>
    <xf numFmtId="0" fontId="69" fillId="0" borderId="4" xfId="0" applyFont="1" applyBorder="1" applyAlignment="1">
      <alignment vertical="center" wrapText="1"/>
    </xf>
    <xf numFmtId="0" fontId="59" fillId="8" borderId="8" xfId="0" applyFont="1" applyFill="1" applyBorder="1" applyAlignment="1">
      <alignment horizontal="left" vertical="center" wrapText="1"/>
    </xf>
    <xf numFmtId="0" fontId="69" fillId="8" borderId="5" xfId="0" applyFont="1" applyFill="1" applyBorder="1" applyAlignment="1">
      <alignment horizontal="center" vertical="center" wrapText="1"/>
    </xf>
    <xf numFmtId="0" fontId="69" fillId="8" borderId="4" xfId="0" applyFont="1" applyFill="1" applyBorder="1" applyAlignment="1">
      <alignment horizontal="center" vertical="center" wrapText="1"/>
    </xf>
    <xf numFmtId="0" fontId="55" fillId="8" borderId="1" xfId="0" applyFont="1" applyFill="1" applyBorder="1" applyAlignment="1">
      <alignment horizontal="left" vertical="center" wrapText="1"/>
    </xf>
    <xf numFmtId="0" fontId="69" fillId="0" borderId="15" xfId="0" applyFont="1" applyBorder="1" applyAlignment="1">
      <alignment horizontal="center" vertical="center"/>
    </xf>
    <xf numFmtId="0" fontId="69" fillId="6" borderId="8" xfId="0" applyFont="1" applyFill="1" applyBorder="1" applyAlignment="1">
      <alignment horizontal="center" vertical="center"/>
    </xf>
    <xf numFmtId="0" fontId="69" fillId="0" borderId="4" xfId="0" applyFont="1" applyBorder="1" applyAlignment="1">
      <alignment horizontal="center" vertical="center"/>
    </xf>
    <xf numFmtId="0" fontId="69" fillId="6" borderId="1" xfId="0" applyFont="1" applyFill="1" applyBorder="1" applyAlignment="1">
      <alignment horizontal="center" vertical="center"/>
    </xf>
    <xf numFmtId="0" fontId="69" fillId="0" borderId="2" xfId="0" applyFont="1" applyBorder="1" applyAlignment="1">
      <alignment horizontal="center" vertical="center"/>
    </xf>
    <xf numFmtId="0" fontId="57" fillId="0" borderId="6" xfId="0" applyFont="1" applyBorder="1" applyAlignment="1">
      <alignment horizontal="left" vertical="center" wrapText="1"/>
    </xf>
    <xf numFmtId="0" fontId="69" fillId="6" borderId="5" xfId="0" applyFont="1" applyFill="1" applyBorder="1" applyAlignment="1">
      <alignment horizontal="center" vertical="center"/>
    </xf>
    <xf numFmtId="0" fontId="55" fillId="8" borderId="6" xfId="0" applyFont="1" applyFill="1" applyBorder="1" applyAlignment="1">
      <alignment horizontal="left" vertical="center" wrapText="1"/>
    </xf>
    <xf numFmtId="0" fontId="69" fillId="0" borderId="1" xfId="12" applyFont="1" applyFill="1" applyBorder="1" applyAlignment="1">
      <alignment horizontal="center" vertical="center" wrapText="1"/>
    </xf>
    <xf numFmtId="0" fontId="57" fillId="0" borderId="0" xfId="0" applyFont="1" applyAlignment="1">
      <alignment horizontal="left" vertical="center" wrapText="1"/>
    </xf>
    <xf numFmtId="0" fontId="82" fillId="0" borderId="1" xfId="12" applyFont="1" applyFill="1" applyBorder="1" applyAlignment="1">
      <alignment horizontal="center" vertical="center" wrapText="1"/>
    </xf>
    <xf numFmtId="0" fontId="69" fillId="0" borderId="4" xfId="12" applyFont="1" applyFill="1" applyBorder="1" applyAlignment="1">
      <alignment vertical="center" wrapText="1"/>
    </xf>
    <xf numFmtId="0" fontId="55" fillId="16" borderId="1" xfId="0" applyFont="1" applyFill="1" applyBorder="1" applyAlignment="1">
      <alignment horizontal="left" vertical="center" wrapText="1"/>
    </xf>
    <xf numFmtId="0" fontId="56" fillId="8" borderId="4" xfId="0" applyFont="1" applyFill="1" applyBorder="1" applyAlignment="1">
      <alignment horizontal="left" vertical="center" wrapText="1"/>
    </xf>
    <xf numFmtId="0" fontId="55" fillId="16" borderId="1" xfId="12" applyFont="1" applyFill="1" applyBorder="1" applyAlignment="1">
      <alignment horizontal="left" vertical="center" wrapText="1"/>
    </xf>
    <xf numFmtId="0" fontId="83" fillId="5" borderId="1" xfId="0" applyFont="1" applyFill="1" applyBorder="1" applyAlignment="1">
      <alignment horizontal="center" vertical="center" wrapText="1"/>
    </xf>
    <xf numFmtId="1" fontId="69" fillId="5" borderId="1" xfId="0" applyNumberFormat="1" applyFont="1" applyFill="1" applyBorder="1" applyAlignment="1">
      <alignment horizontal="center" vertical="center"/>
    </xf>
    <xf numFmtId="0" fontId="69" fillId="7" borderId="1" xfId="0" applyFont="1" applyFill="1" applyBorder="1" applyAlignment="1">
      <alignment horizontal="center" vertical="center" wrapText="1"/>
    </xf>
    <xf numFmtId="0" fontId="69" fillId="7" borderId="7" xfId="0" applyFont="1" applyFill="1" applyBorder="1" applyAlignment="1">
      <alignment horizontal="center" vertical="center"/>
    </xf>
    <xf numFmtId="0" fontId="69" fillId="8" borderId="7" xfId="0" applyFont="1" applyFill="1" applyBorder="1" applyAlignment="1">
      <alignment horizontal="center" vertical="center" wrapText="1"/>
    </xf>
    <xf numFmtId="0" fontId="56" fillId="0" borderId="1" xfId="12" applyFont="1" applyFill="1" applyBorder="1" applyAlignment="1">
      <alignment horizontal="left" vertical="center" wrapText="1"/>
    </xf>
    <xf numFmtId="0" fontId="55" fillId="0" borderId="8" xfId="0" applyFont="1" applyBorder="1" applyAlignment="1">
      <alignment horizontal="left" vertical="center" wrapText="1"/>
    </xf>
    <xf numFmtId="0" fontId="55" fillId="0" borderId="1" xfId="0" applyFont="1" applyBorder="1" applyAlignment="1">
      <alignment horizontal="left" vertical="center"/>
    </xf>
    <xf numFmtId="0" fontId="55" fillId="6" borderId="1" xfId="0" applyFont="1" applyFill="1" applyBorder="1" applyAlignment="1">
      <alignment horizontal="left" vertical="center"/>
    </xf>
    <xf numFmtId="0" fontId="69" fillId="0" borderId="4" xfId="0" applyFont="1" applyBorder="1" applyAlignment="1">
      <alignment vertical="center"/>
    </xf>
    <xf numFmtId="0" fontId="69" fillId="5" borderId="3" xfId="0" applyFont="1" applyFill="1" applyBorder="1" applyAlignment="1">
      <alignment horizontal="left" vertical="center" wrapText="1"/>
    </xf>
    <xf numFmtId="0" fontId="69" fillId="7" borderId="7" xfId="0" applyFont="1" applyFill="1" applyBorder="1" applyAlignment="1">
      <alignment horizontal="center" vertical="center" wrapText="1"/>
    </xf>
    <xf numFmtId="0" fontId="55" fillId="0" borderId="32" xfId="12" applyFont="1" applyFill="1" applyBorder="1" applyAlignment="1">
      <alignment vertical="center" wrapText="1"/>
    </xf>
    <xf numFmtId="0" fontId="69" fillId="0" borderId="6" xfId="0" applyFont="1" applyBorder="1" applyAlignment="1">
      <alignment vertical="center"/>
    </xf>
    <xf numFmtId="0" fontId="55" fillId="0" borderId="0" xfId="12" applyFont="1" applyFill="1" applyBorder="1" applyAlignment="1">
      <alignment vertical="center" wrapText="1"/>
    </xf>
    <xf numFmtId="0" fontId="69" fillId="0" borderId="6" xfId="0" applyFont="1" applyBorder="1" applyAlignment="1">
      <alignment horizontal="left" vertical="center"/>
    </xf>
    <xf numFmtId="0" fontId="68" fillId="0" borderId="0" xfId="12" applyFont="1" applyFill="1" applyAlignment="1">
      <alignment vertical="center"/>
    </xf>
    <xf numFmtId="0" fontId="69" fillId="6" borderId="3" xfId="0" applyFont="1" applyFill="1" applyBorder="1" applyAlignment="1">
      <alignment vertical="center"/>
    </xf>
    <xf numFmtId="0" fontId="84" fillId="0" borderId="0" xfId="0" applyFont="1" applyAlignment="1">
      <alignment wrapText="1"/>
    </xf>
    <xf numFmtId="0" fontId="84" fillId="0" borderId="32" xfId="0" applyFont="1" applyBorder="1" applyAlignment="1">
      <alignment wrapText="1"/>
    </xf>
    <xf numFmtId="0" fontId="84" fillId="0" borderId="0" xfId="0" applyFont="1"/>
    <xf numFmtId="0" fontId="68" fillId="0" borderId="0" xfId="38" applyFont="1" applyFill="1" applyBorder="1" applyAlignment="1">
      <alignment vertical="center"/>
    </xf>
    <xf numFmtId="0" fontId="68" fillId="0" borderId="32" xfId="38" applyFont="1" applyFill="1" applyBorder="1" applyAlignment="1">
      <alignment vertical="center"/>
    </xf>
    <xf numFmtId="0" fontId="68" fillId="0" borderId="32" xfId="38" applyFont="1" applyFill="1" applyBorder="1" applyAlignment="1">
      <alignment vertical="center" wrapText="1"/>
    </xf>
    <xf numFmtId="0" fontId="68" fillId="0" borderId="1" xfId="38" applyFont="1" applyFill="1" applyBorder="1" applyAlignment="1">
      <alignment vertical="center" wrapText="1"/>
    </xf>
    <xf numFmtId="0" fontId="68" fillId="0" borderId="32" xfId="38" applyFont="1" applyFill="1" applyBorder="1" applyAlignment="1">
      <alignment horizontal="center" vertical="center"/>
    </xf>
    <xf numFmtId="0" fontId="83" fillId="4" borderId="5" xfId="0" applyFont="1" applyFill="1" applyBorder="1" applyAlignment="1">
      <alignment horizontal="center" vertical="center" wrapText="1"/>
    </xf>
    <xf numFmtId="0" fontId="83" fillId="6" borderId="5" xfId="0" applyFont="1" applyFill="1" applyBorder="1" applyAlignment="1">
      <alignment horizontal="center" vertical="center" wrapText="1"/>
    </xf>
    <xf numFmtId="0" fontId="83" fillId="4" borderId="1" xfId="0" applyFont="1" applyFill="1" applyBorder="1" applyAlignment="1">
      <alignment horizontal="center" vertical="center" wrapText="1"/>
    </xf>
    <xf numFmtId="0" fontId="62" fillId="0" borderId="0" xfId="5" applyFont="1" applyAlignment="1">
      <alignment vertical="center" wrapText="1"/>
    </xf>
    <xf numFmtId="0" fontId="55" fillId="0" borderId="1" xfId="152" applyFont="1" applyFill="1" applyBorder="1" applyAlignment="1">
      <alignment horizontal="left" vertical="center" wrapText="1"/>
    </xf>
    <xf numFmtId="0" fontId="13" fillId="17" borderId="1" xfId="0" applyFont="1" applyFill="1" applyBorder="1" applyAlignment="1">
      <alignment vertical="center" wrapText="1"/>
    </xf>
    <xf numFmtId="0" fontId="0" fillId="0" borderId="32" xfId="0" applyBorder="1" applyAlignment="1">
      <alignment wrapText="1"/>
    </xf>
    <xf numFmtId="0" fontId="84" fillId="0" borderId="32" xfId="0" applyFont="1" applyBorder="1" applyAlignment="1">
      <alignment horizontal="left" wrapText="1"/>
    </xf>
    <xf numFmtId="0" fontId="57" fillId="0" borderId="0" xfId="0" applyFont="1" applyAlignment="1">
      <alignment horizontal="justify" vertical="top" wrapText="1"/>
    </xf>
    <xf numFmtId="0" fontId="57" fillId="0" borderId="0" xfId="0" applyFont="1" applyAlignment="1">
      <alignment horizontal="justify" vertical="center" wrapText="1"/>
    </xf>
    <xf numFmtId="0" fontId="71" fillId="0" borderId="0" xfId="0" applyFont="1" applyAlignment="1">
      <alignment horizontal="left" vertical="center"/>
    </xf>
    <xf numFmtId="0" fontId="6" fillId="0" borderId="4" xfId="12" applyFont="1" applyFill="1" applyBorder="1" applyAlignment="1">
      <alignment vertical="center" wrapText="1"/>
    </xf>
    <xf numFmtId="0" fontId="46" fillId="0" borderId="32" xfId="12" applyFont="1" applyFill="1" applyBorder="1" applyAlignment="1">
      <alignment vertical="center" wrapText="1"/>
    </xf>
    <xf numFmtId="0" fontId="18" fillId="0" borderId="1" xfId="12" applyFont="1" applyFill="1" applyBorder="1" applyAlignment="1">
      <alignment vertical="center" wrapText="1"/>
    </xf>
    <xf numFmtId="0" fontId="25" fillId="0" borderId="1" xfId="0" applyFont="1" applyBorder="1" applyAlignment="1">
      <alignment horizontal="left" vertical="center" wrapText="1"/>
    </xf>
    <xf numFmtId="0" fontId="6" fillId="0" borderId="1" xfId="0" applyFont="1" applyBorder="1" applyAlignment="1">
      <alignment horizontal="center" vertical="center" wrapText="1"/>
    </xf>
    <xf numFmtId="0" fontId="46" fillId="0" borderId="1" xfId="54" applyFont="1" applyBorder="1" applyAlignment="1">
      <alignment horizontal="justify" vertical="center" wrapText="1"/>
    </xf>
    <xf numFmtId="0" fontId="46" fillId="0" borderId="32" xfId="58" applyFont="1" applyBorder="1" applyAlignment="1">
      <alignment horizontal="justify" vertical="center" wrapText="1"/>
    </xf>
    <xf numFmtId="0" fontId="2" fillId="2" borderId="0" xfId="0" applyFont="1" applyFill="1" applyAlignment="1">
      <alignment horizontal="center" vertical="center" wrapText="1"/>
    </xf>
    <xf numFmtId="0" fontId="0" fillId="0" borderId="0" xfId="0" applyFont="1" applyAlignment="1"/>
    <xf numFmtId="0" fontId="12" fillId="4" borderId="2" xfId="0" applyFont="1" applyFill="1" applyBorder="1" applyAlignment="1">
      <alignment horizontal="center" vertical="center" wrapText="1"/>
    </xf>
    <xf numFmtId="0" fontId="11" fillId="0" borderId="4" xfId="0" applyFont="1" applyBorder="1"/>
    <xf numFmtId="0" fontId="7" fillId="3" borderId="0" xfId="0" applyFont="1" applyFill="1" applyAlignment="1">
      <alignment horizontal="center" vertical="center" wrapText="1"/>
    </xf>
    <xf numFmtId="0" fontId="8" fillId="3" borderId="2" xfId="0" applyFont="1" applyFill="1" applyBorder="1" applyAlignment="1">
      <alignment horizontal="center" vertical="center" wrapText="1"/>
    </xf>
    <xf numFmtId="0" fontId="12" fillId="4" borderId="5" xfId="0" applyFont="1" applyFill="1" applyBorder="1" applyAlignment="1">
      <alignment horizontal="center" vertical="center" wrapText="1"/>
    </xf>
    <xf numFmtId="0" fontId="11" fillId="0" borderId="5" xfId="0" applyFont="1" applyBorder="1"/>
    <xf numFmtId="0" fontId="19" fillId="0" borderId="8" xfId="0" applyFont="1" applyBorder="1" applyAlignment="1">
      <alignment horizontal="left" vertical="center" wrapText="1"/>
    </xf>
    <xf numFmtId="0" fontId="11" fillId="0" borderId="9" xfId="0" applyFont="1" applyBorder="1"/>
    <xf numFmtId="0" fontId="19" fillId="0" borderId="9" xfId="0" applyFont="1" applyBorder="1" applyAlignment="1">
      <alignment horizontal="left" vertical="center" wrapText="1"/>
    </xf>
    <xf numFmtId="0" fontId="13" fillId="0" borderId="9" xfId="0" applyFont="1" applyBorder="1" applyAlignment="1">
      <alignment horizontal="left" vertical="center" wrapText="1"/>
    </xf>
    <xf numFmtId="0" fontId="27" fillId="0" borderId="8" xfId="0" applyFont="1" applyBorder="1" applyAlignment="1">
      <alignment horizontal="center" vertical="center" wrapText="1"/>
    </xf>
    <xf numFmtId="0" fontId="13" fillId="0" borderId="8" xfId="0" applyFont="1" applyBorder="1" applyAlignment="1">
      <alignment horizontal="left" vertical="center" wrapText="1"/>
    </xf>
    <xf numFmtId="0" fontId="13" fillId="0" borderId="9" xfId="0" applyFont="1" applyBorder="1" applyAlignment="1">
      <alignment horizontal="center" vertical="center" wrapText="1"/>
    </xf>
    <xf numFmtId="0" fontId="4" fillId="2" borderId="0" xfId="0" applyFont="1" applyFill="1" applyAlignment="1">
      <alignment horizontal="center" vertical="center" wrapText="1"/>
    </xf>
    <xf numFmtId="0" fontId="13" fillId="0" borderId="8" xfId="0" applyFont="1" applyBorder="1" applyAlignment="1">
      <alignment horizontal="center" vertical="center" wrapText="1"/>
    </xf>
    <xf numFmtId="0" fontId="69" fillId="0" borderId="8" xfId="0" applyFont="1" applyBorder="1" applyAlignment="1">
      <alignment horizontal="center" vertical="center" wrapText="1"/>
    </xf>
    <xf numFmtId="0" fontId="68" fillId="0" borderId="9" xfId="0" applyFont="1" applyBorder="1"/>
    <xf numFmtId="0" fontId="11" fillId="0" borderId="13" xfId="0" applyFont="1" applyBorder="1"/>
    <xf numFmtId="0" fontId="27" fillId="0" borderId="8" xfId="0" applyFont="1" applyBorder="1" applyAlignment="1">
      <alignment horizontal="left" vertical="center" wrapText="1"/>
    </xf>
    <xf numFmtId="0" fontId="6" fillId="0" borderId="8" xfId="0" applyFont="1" applyBorder="1" applyAlignment="1">
      <alignment horizontal="left" vertical="center" wrapText="1"/>
    </xf>
    <xf numFmtId="0" fontId="11" fillId="0" borderId="6" xfId="0" applyFont="1" applyBorder="1"/>
    <xf numFmtId="0" fontId="13" fillId="0" borderId="13" xfId="0" applyFont="1" applyBorder="1" applyAlignment="1">
      <alignment horizontal="left" vertical="center" wrapText="1"/>
    </xf>
    <xf numFmtId="0" fontId="69" fillId="0" borderId="8" xfId="0" applyFont="1" applyBorder="1" applyAlignment="1">
      <alignment horizontal="left" vertical="center" wrapText="1"/>
    </xf>
    <xf numFmtId="0" fontId="83" fillId="4" borderId="5" xfId="0" applyFont="1" applyFill="1" applyBorder="1" applyAlignment="1">
      <alignment horizontal="center" vertical="center" wrapText="1"/>
    </xf>
    <xf numFmtId="0" fontId="68" fillId="0" borderId="5" xfId="0" applyFont="1" applyBorder="1"/>
    <xf numFmtId="0" fontId="68" fillId="0" borderId="6" xfId="0" applyFont="1" applyBorder="1"/>
    <xf numFmtId="0" fontId="13" fillId="0" borderId="10" xfId="0" applyFont="1" applyBorder="1" applyAlignment="1">
      <alignment horizontal="left" vertical="center" wrapText="1"/>
    </xf>
    <xf numFmtId="0" fontId="11" fillId="0" borderId="3" xfId="0" applyFont="1" applyBorder="1"/>
    <xf numFmtId="0" fontId="68" fillId="0" borderId="13" xfId="0" applyFont="1" applyBorder="1"/>
    <xf numFmtId="0" fontId="69" fillId="0" borderId="9" xfId="0" applyFont="1" applyBorder="1" applyAlignment="1">
      <alignment horizontal="left" vertical="center" wrapText="1"/>
    </xf>
    <xf numFmtId="0" fontId="19" fillId="0" borderId="0" xfId="0" applyFont="1" applyAlignment="1">
      <alignment horizontal="left" vertical="center"/>
    </xf>
    <xf numFmtId="0" fontId="39" fillId="0" borderId="0" xfId="0" applyFont="1" applyAlignment="1">
      <alignment horizontal="center" vertical="center" wrapText="1"/>
    </xf>
    <xf numFmtId="0" fontId="33" fillId="0" borderId="2" xfId="0" applyFont="1" applyBorder="1" applyAlignment="1">
      <alignment horizontal="center" vertical="center"/>
    </xf>
    <xf numFmtId="0" fontId="24" fillId="0" borderId="10" xfId="0" applyFont="1" applyBorder="1" applyAlignment="1">
      <alignment horizontal="center" vertical="center" wrapText="1"/>
    </xf>
    <xf numFmtId="0" fontId="11" fillId="0" borderId="11" xfId="0" applyFont="1" applyBorder="1"/>
    <xf numFmtId="0" fontId="11" fillId="0" borderId="15" xfId="0" applyFont="1" applyBorder="1"/>
    <xf numFmtId="0" fontId="11" fillId="0" borderId="14" xfId="0" applyFont="1" applyBorder="1"/>
    <xf numFmtId="0" fontId="11" fillId="0" borderId="7" xfId="0" applyFont="1" applyBorder="1"/>
    <xf numFmtId="0" fontId="11" fillId="0" borderId="12" xfId="0" applyFont="1" applyBorder="1"/>
    <xf numFmtId="0" fontId="2" fillId="0" borderId="19" xfId="0" applyFont="1" applyBorder="1" applyAlignment="1">
      <alignment horizontal="center" vertical="center" wrapText="1"/>
    </xf>
    <xf numFmtId="0" fontId="11" fillId="0" borderId="20" xfId="0" applyFont="1" applyBorder="1"/>
    <xf numFmtId="0" fontId="2" fillId="0" borderId="18" xfId="0" applyFont="1" applyBorder="1" applyAlignment="1">
      <alignment horizontal="center" vertical="center"/>
    </xf>
    <xf numFmtId="0" fontId="11" fillId="0" borderId="24" xfId="0" applyFont="1" applyBorder="1"/>
    <xf numFmtId="0" fontId="24" fillId="0" borderId="0" xfId="0" applyFont="1" applyAlignment="1">
      <alignment horizontal="center" vertical="center" wrapText="1"/>
    </xf>
    <xf numFmtId="0" fontId="7" fillId="0" borderId="2" xfId="0" applyFont="1" applyBorder="1" applyAlignment="1">
      <alignment horizontal="center" vertical="center" wrapText="1"/>
    </xf>
    <xf numFmtId="0" fontId="7" fillId="0" borderId="2" xfId="0" applyFont="1" applyBorder="1" applyAlignment="1">
      <alignment horizontal="center" vertical="center"/>
    </xf>
    <xf numFmtId="0" fontId="24" fillId="0" borderId="2" xfId="0" applyFont="1" applyBorder="1" applyAlignment="1">
      <alignment horizontal="center" vertical="center"/>
    </xf>
    <xf numFmtId="0" fontId="24" fillId="0" borderId="8" xfId="0" applyFont="1" applyBorder="1" applyAlignment="1">
      <alignment horizontal="center" vertical="center"/>
    </xf>
    <xf numFmtId="0" fontId="23" fillId="0" borderId="8" xfId="0" applyFont="1" applyBorder="1" applyAlignment="1">
      <alignment horizontal="center" vertical="center" wrapText="1"/>
    </xf>
    <xf numFmtId="0" fontId="22" fillId="0" borderId="8" xfId="0" applyFont="1" applyBorder="1" applyAlignment="1">
      <alignment horizontal="center" vertical="center"/>
    </xf>
    <xf numFmtId="0" fontId="24" fillId="0" borderId="2" xfId="0" applyFont="1" applyBorder="1" applyAlignment="1">
      <alignment horizontal="center" vertical="center" wrapText="1"/>
    </xf>
    <xf numFmtId="0" fontId="24" fillId="0" borderId="10" xfId="0" applyFont="1" applyBorder="1" applyAlignment="1">
      <alignment horizontal="center" vertical="center"/>
    </xf>
    <xf numFmtId="0" fontId="24" fillId="0" borderId="2" xfId="0" applyFont="1" applyBorder="1" applyAlignment="1">
      <alignment horizontal="left" vertical="center" wrapText="1"/>
    </xf>
    <xf numFmtId="0" fontId="24" fillId="0" borderId="13" xfId="0" applyFont="1" applyBorder="1" applyAlignment="1">
      <alignment horizontal="center" vertical="center" wrapText="1"/>
    </xf>
    <xf numFmtId="0" fontId="3" fillId="2" borderId="0" xfId="0" applyFont="1" applyFill="1" applyAlignment="1">
      <alignment horizontal="center" vertical="center" wrapText="1"/>
    </xf>
    <xf numFmtId="0" fontId="20" fillId="3" borderId="10" xfId="0" applyFont="1" applyFill="1" applyBorder="1" applyAlignment="1">
      <alignment horizontal="center" vertical="center" wrapText="1"/>
    </xf>
    <xf numFmtId="0" fontId="9" fillId="0" borderId="0" xfId="0" applyFont="1" applyAlignment="1">
      <alignment vertical="center"/>
    </xf>
    <xf numFmtId="0" fontId="23" fillId="0" borderId="9" xfId="0" applyFont="1" applyBorder="1" applyAlignment="1">
      <alignment horizontal="center" vertical="center" wrapText="1"/>
    </xf>
    <xf numFmtId="0" fontId="22" fillId="0" borderId="9" xfId="0" applyFont="1" applyBorder="1" applyAlignment="1">
      <alignment horizontal="center" vertical="center"/>
    </xf>
    <xf numFmtId="0" fontId="24" fillId="0" borderId="9" xfId="0" applyFont="1" applyBorder="1" applyAlignment="1">
      <alignment horizontal="center" vertical="center"/>
    </xf>
    <xf numFmtId="0" fontId="24" fillId="0" borderId="14" xfId="0" applyFont="1" applyBorder="1" applyAlignment="1">
      <alignment horizontal="left" vertical="center" wrapText="1"/>
    </xf>
    <xf numFmtId="1" fontId="9" fillId="0" borderId="0" xfId="0" applyNumberFormat="1" applyFont="1" applyAlignment="1">
      <alignment horizontal="left" vertical="center" wrapText="1"/>
    </xf>
    <xf numFmtId="0" fontId="24" fillId="0" borderId="21" xfId="0" applyFont="1" applyBorder="1" applyAlignment="1">
      <alignment horizontal="left" vertical="center" wrapText="1"/>
    </xf>
    <xf numFmtId="0" fontId="11" fillId="0" borderId="22" xfId="0" applyFont="1" applyBorder="1"/>
    <xf numFmtId="0" fontId="20" fillId="3" borderId="2" xfId="0" applyFont="1" applyFill="1" applyBorder="1" applyAlignment="1">
      <alignment horizontal="center" vertical="center" wrapText="1"/>
    </xf>
    <xf numFmtId="0" fontId="49" fillId="0" borderId="0" xfId="0" applyFont="1" applyAlignment="1">
      <alignment horizontal="center"/>
    </xf>
    <xf numFmtId="0" fontId="29" fillId="10" borderId="2" xfId="0" applyFont="1" applyFill="1" applyBorder="1" applyAlignment="1">
      <alignment horizontal="center" vertical="center"/>
    </xf>
  </cellXfs>
  <cellStyles count="294">
    <cellStyle name="Hiperlink 2" xfId="38"/>
    <cellStyle name="Hiperlink 3" xfId="42"/>
    <cellStyle name="Hiperlink 3 2" xfId="181"/>
    <cellStyle name="Hiperlink 4" xfId="263"/>
    <cellStyle name="Hyperlink" xfId="5" builtinId="8"/>
    <cellStyle name="Normal" xfId="0" builtinId="0"/>
    <cellStyle name="Normal 10" xfId="12"/>
    <cellStyle name="Normal 10 2" xfId="152"/>
    <cellStyle name="Normal 100" xfId="104"/>
    <cellStyle name="Normal 101" xfId="105"/>
    <cellStyle name="Normal 102" xfId="106"/>
    <cellStyle name="Normal 103" xfId="107"/>
    <cellStyle name="Normal 104" xfId="108"/>
    <cellStyle name="Normal 105" xfId="109"/>
    <cellStyle name="Normal 106" xfId="110"/>
    <cellStyle name="Normal 107" xfId="111"/>
    <cellStyle name="Normal 108" xfId="112"/>
    <cellStyle name="Normal 109" xfId="113"/>
    <cellStyle name="Normal 11" xfId="13"/>
    <cellStyle name="Normal 11 2" xfId="153"/>
    <cellStyle name="Normal 110" xfId="114"/>
    <cellStyle name="Normal 111" xfId="115"/>
    <cellStyle name="Normal 112" xfId="116"/>
    <cellStyle name="Normal 113" xfId="117"/>
    <cellStyle name="Normal 114" xfId="118"/>
    <cellStyle name="Normal 115" xfId="119"/>
    <cellStyle name="Normal 116" xfId="120"/>
    <cellStyle name="Normal 117" xfId="121"/>
    <cellStyle name="Normal 118" xfId="122"/>
    <cellStyle name="Normal 119" xfId="123"/>
    <cellStyle name="Normal 12" xfId="14"/>
    <cellStyle name="Normal 12 2" xfId="154"/>
    <cellStyle name="Normal 120" xfId="124"/>
    <cellStyle name="Normal 121" xfId="125"/>
    <cellStyle name="Normal 122" xfId="126"/>
    <cellStyle name="Normal 123" xfId="127"/>
    <cellStyle name="Normal 124" xfId="128"/>
    <cellStyle name="Normal 125" xfId="129"/>
    <cellStyle name="Normal 126" xfId="130"/>
    <cellStyle name="Normal 127" xfId="131"/>
    <cellStyle name="Normal 128" xfId="132"/>
    <cellStyle name="Normal 129" xfId="133"/>
    <cellStyle name="Normal 13" xfId="15"/>
    <cellStyle name="Normal 13 2" xfId="155"/>
    <cellStyle name="Normal 130" xfId="134"/>
    <cellStyle name="Normal 131" xfId="135"/>
    <cellStyle name="Normal 132" xfId="136"/>
    <cellStyle name="Normal 133" xfId="137"/>
    <cellStyle name="Normal 134" xfId="138"/>
    <cellStyle name="Normal 135" xfId="139"/>
    <cellStyle name="Normal 136" xfId="140"/>
    <cellStyle name="Normal 137" xfId="141"/>
    <cellStyle name="Normal 138" xfId="142"/>
    <cellStyle name="Normal 139" xfId="143"/>
    <cellStyle name="Normal 14" xfId="16"/>
    <cellStyle name="Normal 14 2" xfId="156"/>
    <cellStyle name="Normal 140" xfId="144"/>
    <cellStyle name="Normal 141" xfId="216"/>
    <cellStyle name="Normal 142" xfId="217"/>
    <cellStyle name="Normal 143" xfId="218"/>
    <cellStyle name="Normal 144" xfId="219"/>
    <cellStyle name="Normal 145" xfId="220"/>
    <cellStyle name="Normal 146" xfId="221"/>
    <cellStyle name="Normal 147" xfId="222"/>
    <cellStyle name="Normal 148" xfId="223"/>
    <cellStyle name="Normal 149" xfId="224"/>
    <cellStyle name="Normal 15" xfId="17"/>
    <cellStyle name="Normal 15 2" xfId="157"/>
    <cellStyle name="Normal 150" xfId="225"/>
    <cellStyle name="Normal 151" xfId="226"/>
    <cellStyle name="Normal 152" xfId="227"/>
    <cellStyle name="Normal 153" xfId="228"/>
    <cellStyle name="Normal 154" xfId="229"/>
    <cellStyle name="Normal 155" xfId="230"/>
    <cellStyle name="Normal 156" xfId="231"/>
    <cellStyle name="Normal 157" xfId="232"/>
    <cellStyle name="Normal 158" xfId="233"/>
    <cellStyle name="Normal 159" xfId="234"/>
    <cellStyle name="Normal 16" xfId="18"/>
    <cellStyle name="Normal 16 2" xfId="158"/>
    <cellStyle name="Normal 160" xfId="235"/>
    <cellStyle name="Normal 161" xfId="236"/>
    <cellStyle name="Normal 162" xfId="237"/>
    <cellStyle name="Normal 163" xfId="238"/>
    <cellStyle name="Normal 164" xfId="239"/>
    <cellStyle name="Normal 165" xfId="240"/>
    <cellStyle name="Normal 166" xfId="241"/>
    <cellStyle name="Normal 167" xfId="242"/>
    <cellStyle name="Normal 168" xfId="243"/>
    <cellStyle name="Normal 169" xfId="244"/>
    <cellStyle name="Normal 17" xfId="19"/>
    <cellStyle name="Normal 17 2" xfId="159"/>
    <cellStyle name="Normal 170" xfId="245"/>
    <cellStyle name="Normal 171" xfId="246"/>
    <cellStyle name="Normal 172" xfId="247"/>
    <cellStyle name="Normal 173" xfId="248"/>
    <cellStyle name="Normal 174" xfId="249"/>
    <cellStyle name="Normal 175" xfId="250"/>
    <cellStyle name="Normal 176" xfId="251"/>
    <cellStyle name="Normal 177" xfId="252"/>
    <cellStyle name="Normal 178" xfId="253"/>
    <cellStyle name="Normal 179" xfId="254"/>
    <cellStyle name="Normal 18" xfId="20"/>
    <cellStyle name="Normal 18 2" xfId="160"/>
    <cellStyle name="Normal 180" xfId="255"/>
    <cellStyle name="Normal 181" xfId="256"/>
    <cellStyle name="Normal 182" xfId="257"/>
    <cellStyle name="Normal 183" xfId="258"/>
    <cellStyle name="Normal 184" xfId="259"/>
    <cellStyle name="Normal 185" xfId="260"/>
    <cellStyle name="Normal 186" xfId="261"/>
    <cellStyle name="Normal 187" xfId="262"/>
    <cellStyle name="Normal 188" xfId="264"/>
    <cellStyle name="Normal 189" xfId="265"/>
    <cellStyle name="Normal 19" xfId="21"/>
    <cellStyle name="Normal 19 2" xfId="161"/>
    <cellStyle name="Normal 190" xfId="266"/>
    <cellStyle name="Normal 191" xfId="267"/>
    <cellStyle name="Normal 192" xfId="268"/>
    <cellStyle name="Normal 193" xfId="269"/>
    <cellStyle name="Normal 194" xfId="270"/>
    <cellStyle name="Normal 195" xfId="271"/>
    <cellStyle name="Normal 196" xfId="272"/>
    <cellStyle name="Normal 197" xfId="273"/>
    <cellStyle name="Normal 198" xfId="274"/>
    <cellStyle name="Normal 199" xfId="275"/>
    <cellStyle name="Normal 2" xfId="3"/>
    <cellStyle name="Normal 2 2" xfId="145"/>
    <cellStyle name="Normal 20" xfId="22"/>
    <cellStyle name="Normal 20 2" xfId="162"/>
    <cellStyle name="Normal 200" xfId="276"/>
    <cellStyle name="Normal 201" xfId="277"/>
    <cellStyle name="Normal 202" xfId="278"/>
    <cellStyle name="Normal 203" xfId="279"/>
    <cellStyle name="Normal 204" xfId="280"/>
    <cellStyle name="Normal 205" xfId="281"/>
    <cellStyle name="Normal 206" xfId="282"/>
    <cellStyle name="Normal 207" xfId="283"/>
    <cellStyle name="Normal 208" xfId="284"/>
    <cellStyle name="Normal 209" xfId="285"/>
    <cellStyle name="Normal 21" xfId="23"/>
    <cellStyle name="Normal 21 2" xfId="163"/>
    <cellStyle name="Normal 210" xfId="286"/>
    <cellStyle name="Normal 211" xfId="287"/>
    <cellStyle name="Normal 212" xfId="288"/>
    <cellStyle name="Normal 213" xfId="289"/>
    <cellStyle name="Normal 214" xfId="290"/>
    <cellStyle name="Normal 215" xfId="291"/>
    <cellStyle name="Normal 216" xfId="292"/>
    <cellStyle name="Normal 217" xfId="293"/>
    <cellStyle name="Normal 218" xfId="1"/>
    <cellStyle name="Normal 22" xfId="24"/>
    <cellStyle name="Normal 22 2" xfId="164"/>
    <cellStyle name="Normal 23" xfId="25"/>
    <cellStyle name="Normal 23 2" xfId="165"/>
    <cellStyle name="Normal 24" xfId="26"/>
    <cellStyle name="Normal 24 2" xfId="166"/>
    <cellStyle name="Normal 25" xfId="27"/>
    <cellStyle name="Normal 25 2" xfId="167"/>
    <cellStyle name="Normal 26" xfId="28"/>
    <cellStyle name="Normal 26 2" xfId="168"/>
    <cellStyle name="Normal 27" xfId="29"/>
    <cellStyle name="Normal 27 2" xfId="169"/>
    <cellStyle name="Normal 28" xfId="30"/>
    <cellStyle name="Normal 28 2" xfId="170"/>
    <cellStyle name="Normal 29" xfId="31"/>
    <cellStyle name="Normal 29 2" xfId="171"/>
    <cellStyle name="Normal 3" xfId="2"/>
    <cellStyle name="Normal 3 2" xfId="4"/>
    <cellStyle name="Normal 30" xfId="32"/>
    <cellStyle name="Normal 30 2" xfId="172"/>
    <cellStyle name="Normal 31" xfId="33"/>
    <cellStyle name="Normal 31 2" xfId="173"/>
    <cellStyle name="Normal 32" xfId="34"/>
    <cellStyle name="Normal 32 2" xfId="174"/>
    <cellStyle name="Normal 33" xfId="35"/>
    <cellStyle name="Normal 33 2" xfId="175"/>
    <cellStyle name="Normal 34" xfId="36"/>
    <cellStyle name="Normal 34 2" xfId="176"/>
    <cellStyle name="Normal 35" xfId="37"/>
    <cellStyle name="Normal 35 2" xfId="177"/>
    <cellStyle name="Normal 36" xfId="39"/>
    <cellStyle name="Normal 36 2" xfId="178"/>
    <cellStyle name="Normal 37" xfId="40"/>
    <cellStyle name="Normal 37 2" xfId="179"/>
    <cellStyle name="Normal 38" xfId="41"/>
    <cellStyle name="Normal 38 2" xfId="180"/>
    <cellStyle name="Normal 39" xfId="43"/>
    <cellStyle name="Normal 39 2" xfId="182"/>
    <cellStyle name="Normal 4" xfId="6"/>
    <cellStyle name="Normal 4 2" xfId="146"/>
    <cellStyle name="Normal 40" xfId="44"/>
    <cellStyle name="Normal 40 2" xfId="183"/>
    <cellStyle name="Normal 41" xfId="45"/>
    <cellStyle name="Normal 41 2" xfId="184"/>
    <cellStyle name="Normal 42" xfId="46"/>
    <cellStyle name="Normal 42 2" xfId="185"/>
    <cellStyle name="Normal 43" xfId="47"/>
    <cellStyle name="Normal 43 2" xfId="186"/>
    <cellStyle name="Normal 44" xfId="48"/>
    <cellStyle name="Normal 44 2" xfId="187"/>
    <cellStyle name="Normal 45" xfId="49"/>
    <cellStyle name="Normal 45 2" xfId="188"/>
    <cellStyle name="Normal 46" xfId="50"/>
    <cellStyle name="Normal 46 2" xfId="189"/>
    <cellStyle name="Normal 47" xfId="51"/>
    <cellStyle name="Normal 47 2" xfId="190"/>
    <cellStyle name="Normal 48" xfId="52"/>
    <cellStyle name="Normal 48 2" xfId="191"/>
    <cellStyle name="Normal 49" xfId="53"/>
    <cellStyle name="Normal 49 2" xfId="192"/>
    <cellStyle name="Normal 5" xfId="7"/>
    <cellStyle name="Normal 5 2" xfId="147"/>
    <cellStyle name="Normal 50" xfId="54"/>
    <cellStyle name="Normal 50 2" xfId="193"/>
    <cellStyle name="Normal 51" xfId="55"/>
    <cellStyle name="Normal 51 2" xfId="194"/>
    <cellStyle name="Normal 52" xfId="56"/>
    <cellStyle name="Normal 52 2" xfId="195"/>
    <cellStyle name="Normal 53" xfId="57"/>
    <cellStyle name="Normal 53 2" xfId="196"/>
    <cellStyle name="Normal 54" xfId="58"/>
    <cellStyle name="Normal 54 2" xfId="197"/>
    <cellStyle name="Normal 55" xfId="59"/>
    <cellStyle name="Normal 55 2" xfId="198"/>
    <cellStyle name="Normal 56" xfId="60"/>
    <cellStyle name="Normal 56 2" xfId="199"/>
    <cellStyle name="Normal 57" xfId="61"/>
    <cellStyle name="Normal 57 2" xfId="200"/>
    <cellStyle name="Normal 58" xfId="62"/>
    <cellStyle name="Normal 58 2" xfId="201"/>
    <cellStyle name="Normal 59" xfId="63"/>
    <cellStyle name="Normal 59 2" xfId="202"/>
    <cellStyle name="Normal 6" xfId="8"/>
    <cellStyle name="Normal 6 2" xfId="148"/>
    <cellStyle name="Normal 60" xfId="64"/>
    <cellStyle name="Normal 60 2" xfId="203"/>
    <cellStyle name="Normal 61" xfId="65"/>
    <cellStyle name="Normal 61 2" xfId="204"/>
    <cellStyle name="Normal 62" xfId="66"/>
    <cellStyle name="Normal 62 2" xfId="205"/>
    <cellStyle name="Normal 63" xfId="67"/>
    <cellStyle name="Normal 63 2" xfId="206"/>
    <cellStyle name="Normal 64" xfId="68"/>
    <cellStyle name="Normal 64 2" xfId="207"/>
    <cellStyle name="Normal 65" xfId="69"/>
    <cellStyle name="Normal 65 2" xfId="208"/>
    <cellStyle name="Normal 66" xfId="70"/>
    <cellStyle name="Normal 66 2" xfId="209"/>
    <cellStyle name="Normal 67" xfId="71"/>
    <cellStyle name="Normal 67 2" xfId="210"/>
    <cellStyle name="Normal 68" xfId="72"/>
    <cellStyle name="Normal 68 2" xfId="211"/>
    <cellStyle name="Normal 69" xfId="73"/>
    <cellStyle name="Normal 69 2" xfId="212"/>
    <cellStyle name="Normal 7" xfId="9"/>
    <cellStyle name="Normal 7 2" xfId="149"/>
    <cellStyle name="Normal 70" xfId="74"/>
    <cellStyle name="Normal 70 2" xfId="213"/>
    <cellStyle name="Normal 71" xfId="75"/>
    <cellStyle name="Normal 71 2" xfId="214"/>
    <cellStyle name="Normal 72" xfId="76"/>
    <cellStyle name="Normal 72 2" xfId="215"/>
    <cellStyle name="Normal 73" xfId="77"/>
    <cellStyle name="Normal 74" xfId="78"/>
    <cellStyle name="Normal 75" xfId="79"/>
    <cellStyle name="Normal 76" xfId="80"/>
    <cellStyle name="Normal 77" xfId="81"/>
    <cellStyle name="Normal 78" xfId="82"/>
    <cellStyle name="Normal 79" xfId="83"/>
    <cellStyle name="Normal 8" xfId="10"/>
    <cellStyle name="Normal 8 2" xfId="150"/>
    <cellStyle name="Normal 80" xfId="84"/>
    <cellStyle name="Normal 81" xfId="85"/>
    <cellStyle name="Normal 82" xfId="86"/>
    <cellStyle name="Normal 83" xfId="87"/>
    <cellStyle name="Normal 84" xfId="88"/>
    <cellStyle name="Normal 85" xfId="89"/>
    <cellStyle name="Normal 86" xfId="90"/>
    <cellStyle name="Normal 87" xfId="91"/>
    <cellStyle name="Normal 88" xfId="92"/>
    <cellStyle name="Normal 89" xfId="93"/>
    <cellStyle name="Normal 9" xfId="11"/>
    <cellStyle name="Normal 9 2" xfId="151"/>
    <cellStyle name="Normal 90" xfId="94"/>
    <cellStyle name="Normal 91" xfId="95"/>
    <cellStyle name="Normal 92" xfId="96"/>
    <cellStyle name="Normal 93" xfId="97"/>
    <cellStyle name="Normal 94" xfId="98"/>
    <cellStyle name="Normal 95" xfId="99"/>
    <cellStyle name="Normal 96" xfId="100"/>
    <cellStyle name="Normal 97" xfId="101"/>
    <cellStyle name="Normal 98" xfId="102"/>
    <cellStyle name="Normal 99" xfId="103"/>
  </cellStyles>
  <dxfs count="3">
    <dxf>
      <fill>
        <patternFill patternType="solid">
          <fgColor rgb="FFB6D7A8"/>
          <bgColor rgb="FFB6D7A8"/>
        </patternFill>
      </fill>
      <border>
        <left/>
        <right/>
        <top/>
        <bottom/>
      </border>
    </dxf>
    <dxf>
      <fill>
        <patternFill patternType="solid">
          <fgColor rgb="FFFFE599"/>
          <bgColor rgb="FFFFE599"/>
        </patternFill>
      </fill>
      <border>
        <left/>
        <right/>
        <top/>
        <bottom/>
      </border>
    </dxf>
    <dxf>
      <fill>
        <patternFill patternType="solid">
          <fgColor rgb="FFDD7E6B"/>
          <bgColor rgb="FFDD7E6B"/>
        </patternFill>
      </fill>
      <border>
        <left/>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externalLink" Target="externalLinks/externalLink9.xml"/><Relationship Id="rId18" Type="http://schemas.openxmlformats.org/officeDocument/2006/relationships/externalLink" Target="externalLinks/externalLink14.xml"/><Relationship Id="rId26" Type="http://schemas.openxmlformats.org/officeDocument/2006/relationships/externalLink" Target="externalLinks/externalLink22.xml"/><Relationship Id="rId3" Type="http://schemas.openxmlformats.org/officeDocument/2006/relationships/worksheet" Target="worksheets/sheet3.xml"/><Relationship Id="rId21" Type="http://schemas.openxmlformats.org/officeDocument/2006/relationships/externalLink" Target="externalLinks/externalLink17.xml"/><Relationship Id="rId34" Type="http://schemas.openxmlformats.org/officeDocument/2006/relationships/sharedStrings" Target="sharedStrings.xml"/><Relationship Id="rId7" Type="http://schemas.openxmlformats.org/officeDocument/2006/relationships/externalLink" Target="externalLinks/externalLink3.xml"/><Relationship Id="rId12" Type="http://schemas.openxmlformats.org/officeDocument/2006/relationships/externalLink" Target="externalLinks/externalLink8.xml"/><Relationship Id="rId17" Type="http://schemas.openxmlformats.org/officeDocument/2006/relationships/externalLink" Target="externalLinks/externalLink13.xml"/><Relationship Id="rId25" Type="http://schemas.openxmlformats.org/officeDocument/2006/relationships/externalLink" Target="externalLinks/externalLink21.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externalLink" Target="externalLinks/externalLink12.xml"/><Relationship Id="rId20" Type="http://schemas.openxmlformats.org/officeDocument/2006/relationships/externalLink" Target="externalLinks/externalLink16.xml"/><Relationship Id="rId29" Type="http://schemas.openxmlformats.org/officeDocument/2006/relationships/externalLink" Target="externalLinks/externalLink25.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externalLink" Target="externalLinks/externalLink7.xml"/><Relationship Id="rId24" Type="http://schemas.openxmlformats.org/officeDocument/2006/relationships/externalLink" Target="externalLinks/externalLink20.xml"/><Relationship Id="rId32" Type="http://schemas.openxmlformats.org/officeDocument/2006/relationships/theme" Target="theme/theme1.xml"/><Relationship Id="rId5" Type="http://schemas.openxmlformats.org/officeDocument/2006/relationships/externalLink" Target="externalLinks/externalLink1.xml"/><Relationship Id="rId15" Type="http://schemas.openxmlformats.org/officeDocument/2006/relationships/externalLink" Target="externalLinks/externalLink11.xml"/><Relationship Id="rId23" Type="http://schemas.openxmlformats.org/officeDocument/2006/relationships/externalLink" Target="externalLinks/externalLink19.xml"/><Relationship Id="rId28" Type="http://schemas.openxmlformats.org/officeDocument/2006/relationships/externalLink" Target="externalLinks/externalLink24.xml"/><Relationship Id="rId10" Type="http://schemas.openxmlformats.org/officeDocument/2006/relationships/externalLink" Target="externalLinks/externalLink6.xml"/><Relationship Id="rId19" Type="http://schemas.openxmlformats.org/officeDocument/2006/relationships/externalLink" Target="externalLinks/externalLink15.xml"/><Relationship Id="rId31" Type="http://schemas.openxmlformats.org/officeDocument/2006/relationships/externalLink" Target="externalLinks/externalLink27.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externalLink" Target="externalLinks/externalLink10.xml"/><Relationship Id="rId22" Type="http://schemas.openxmlformats.org/officeDocument/2006/relationships/externalLink" Target="externalLinks/externalLink18.xml"/><Relationship Id="rId27" Type="http://schemas.openxmlformats.org/officeDocument/2006/relationships/externalLink" Target="externalLinks/externalLink23.xml"/><Relationship Id="rId30" Type="http://schemas.openxmlformats.org/officeDocument/2006/relationships/externalLink" Target="externalLinks/externalLink26.xml"/><Relationship Id="rId35"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c:lang val="pt-BR"/>
  <c:roundedCorners val="1"/>
  <c:chart>
    <c:title>
      <c:tx>
        <c:rich>
          <a:bodyPr/>
          <a:lstStyle/>
          <a:p>
            <a:pPr>
              <a:defRPr b="1" i="0"/>
            </a:pPr>
            <a:r>
              <a:rPr lang="pt-BR"/>
              <a:t>RESULTADO dos 
INDICADORES
</a:t>
            </a:r>
          </a:p>
        </c:rich>
      </c:tx>
    </c:title>
    <c:plotArea>
      <c:layout/>
      <c:radarChart>
        <c:radarStyle val="marker"/>
        <c:varyColors val="1"/>
        <c:ser>
          <c:idx val="0"/>
          <c:order val="0"/>
          <c:tx>
            <c:strRef>
              <c:f>Indicadores!$L$4</c:f>
              <c:strCache>
                <c:ptCount val="1"/>
                <c:pt idx="0">
                  <c:v>RESULTADO 
APURADO</c:v>
                </c:pt>
              </c:strCache>
            </c:strRef>
          </c:tx>
          <c:spPr>
            <a:ln w="25400" cmpd="sng">
              <a:solidFill>
                <a:srgbClr val="3366CC"/>
              </a:solidFill>
            </a:ln>
          </c:spPr>
          <c:marker>
            <c:symbol val="none"/>
          </c:marker>
          <c:cat>
            <c:strRef>
              <c:f>Indicadores!$A$5:$A$31</c:f>
              <c:strCache>
                <c:ptCount val="27"/>
                <c:pt idx="0">
                  <c:v>QATC-1 </c:v>
                </c:pt>
                <c:pt idx="1">
                  <c:v>QATC-2 </c:v>
                </c:pt>
                <c:pt idx="2">
                  <c:v>QATC-3 </c:v>
                </c:pt>
                <c:pt idx="3">
                  <c:v>QATC-4</c:v>
                </c:pt>
                <c:pt idx="4">
                  <c:v>QATC-5 </c:v>
                </c:pt>
                <c:pt idx="5">
                  <c:v>QATC-6 </c:v>
                </c:pt>
                <c:pt idx="6">
                  <c:v>QATC-7</c:v>
                </c:pt>
                <c:pt idx="7">
                  <c:v>QATC-8</c:v>
                </c:pt>
                <c:pt idx="8">
                  <c:v>QATC-9 </c:v>
                </c:pt>
                <c:pt idx="9">
                  <c:v>QATC-10 </c:v>
                </c:pt>
                <c:pt idx="10">
                  <c:v>QATC-11</c:v>
                </c:pt>
                <c:pt idx="11">
                  <c:v>QATC-12 </c:v>
                </c:pt>
                <c:pt idx="12">
                  <c:v>QATC-13 </c:v>
                </c:pt>
                <c:pt idx="13">
                  <c:v>QATC-14 </c:v>
                </c:pt>
                <c:pt idx="14">
                  <c:v>QATC-15 </c:v>
                </c:pt>
                <c:pt idx="15">
                  <c:v>QATC-16 </c:v>
                </c:pt>
                <c:pt idx="16">
                  <c:v>QATC-17 </c:v>
                </c:pt>
                <c:pt idx="17">
                  <c:v>QATC-18 </c:v>
                </c:pt>
                <c:pt idx="18">
                  <c:v>QATC-19 </c:v>
                </c:pt>
                <c:pt idx="19">
                  <c:v>QATC-20 </c:v>
                </c:pt>
                <c:pt idx="20">
                  <c:v>QATC-21</c:v>
                </c:pt>
                <c:pt idx="21">
                  <c:v>QATC-22 </c:v>
                </c:pt>
                <c:pt idx="22">
                  <c:v>QATC-23 </c:v>
                </c:pt>
                <c:pt idx="23">
                  <c:v>QATC-24</c:v>
                </c:pt>
                <c:pt idx="24">
                  <c:v>QATC-25</c:v>
                </c:pt>
                <c:pt idx="25">
                  <c:v>QATC-26</c:v>
                </c:pt>
                <c:pt idx="26">
                  <c:v>QATC-27</c:v>
                </c:pt>
              </c:strCache>
            </c:strRef>
          </c:cat>
          <c:val>
            <c:numRef>
              <c:f>Indicadores!$L$5:$L$31</c:f>
              <c:numCache>
                <c:formatCode>0</c:formatCode>
                <c:ptCount val="27"/>
                <c:pt idx="0">
                  <c:v>0</c:v>
                </c:pt>
                <c:pt idx="1">
                  <c:v>0</c:v>
                </c:pt>
                <c:pt idx="2">
                  <c:v>0</c:v>
                </c:pt>
                <c:pt idx="3">
                  <c:v>0</c:v>
                </c:pt>
                <c:pt idx="4">
                  <c:v>0</c:v>
                </c:pt>
                <c:pt idx="5">
                  <c:v>0</c:v>
                </c:pt>
                <c:pt idx="6">
                  <c:v>0</c:v>
                </c:pt>
                <c:pt idx="7">
                  <c:v>0</c:v>
                </c:pt>
                <c:pt idx="8">
                  <c:v>0</c:v>
                </c:pt>
                <c:pt idx="9">
                  <c:v>0</c:v>
                </c:pt>
                <c:pt idx="10">
                  <c:v>0</c:v>
                </c:pt>
                <c:pt idx="11">
                  <c:v>0</c:v>
                </c:pt>
                <c:pt idx="12">
                  <c:v>0</c:v>
                </c:pt>
                <c:pt idx="13">
                  <c:v>1</c:v>
                </c:pt>
                <c:pt idx="14">
                  <c:v>0</c:v>
                </c:pt>
                <c:pt idx="15">
                  <c:v>0</c:v>
                </c:pt>
                <c:pt idx="16">
                  <c:v>0</c:v>
                </c:pt>
                <c:pt idx="17">
                  <c:v>0</c:v>
                </c:pt>
                <c:pt idx="18">
                  <c:v>0</c:v>
                </c:pt>
                <c:pt idx="19">
                  <c:v>0</c:v>
                </c:pt>
                <c:pt idx="20">
                  <c:v>0</c:v>
                </c:pt>
                <c:pt idx="21">
                  <c:v>0</c:v>
                </c:pt>
                <c:pt idx="22">
                  <c:v>0</c:v>
                </c:pt>
                <c:pt idx="23">
                  <c:v>0</c:v>
                </c:pt>
                <c:pt idx="24">
                  <c:v>0</c:v>
                </c:pt>
                <c:pt idx="25">
                  <c:v>0</c:v>
                </c:pt>
                <c:pt idx="26">
                  <c:v>0</c:v>
                </c:pt>
              </c:numCache>
            </c:numRef>
          </c:val>
        </c:ser>
        <c:axId val="83411328"/>
        <c:axId val="83412864"/>
      </c:radarChart>
      <c:catAx>
        <c:axId val="83411328"/>
        <c:scaling>
          <c:orientation val="minMax"/>
        </c:scaling>
        <c:axPos val="b"/>
        <c:numFmt formatCode="General" sourceLinked="0"/>
        <c:majorTickMark val="cross"/>
        <c:minorTickMark val="cross"/>
        <c:tickLblPos val="nextTo"/>
        <c:txPr>
          <a:bodyPr/>
          <a:lstStyle/>
          <a:p>
            <a:pPr>
              <a:defRPr b="1" i="0"/>
            </a:pPr>
            <a:endParaRPr lang="pt-BR"/>
          </a:p>
        </c:txPr>
        <c:crossAx val="83412864"/>
        <c:crosses val="autoZero"/>
        <c:auto val="1"/>
        <c:lblAlgn val="ctr"/>
        <c:lblOffset val="100"/>
        <c:noMultiLvlLbl val="1"/>
      </c:catAx>
      <c:valAx>
        <c:axId val="83412864"/>
        <c:scaling>
          <c:orientation val="minMax"/>
        </c:scaling>
        <c:axPos val="l"/>
        <c:majorGridlines>
          <c:spPr>
            <a:ln>
              <a:solidFill>
                <a:srgbClr val="B7B7B7"/>
              </a:solidFill>
            </a:ln>
          </c:spPr>
        </c:majorGridlines>
        <c:numFmt formatCode="0" sourceLinked="1"/>
        <c:majorTickMark val="cross"/>
        <c:minorTickMark val="cross"/>
        <c:tickLblPos val="nextTo"/>
        <c:spPr>
          <a:ln w="47625">
            <a:noFill/>
          </a:ln>
        </c:spPr>
        <c:txPr>
          <a:bodyPr/>
          <a:lstStyle/>
          <a:p>
            <a:pPr>
              <a:defRPr b="1" i="0"/>
            </a:pPr>
            <a:endParaRPr lang="pt-BR"/>
          </a:p>
        </c:txPr>
        <c:crossAx val="83411328"/>
        <c:crosses val="autoZero"/>
        <c:crossBetween val="between"/>
      </c:valAx>
      <c:spPr>
        <a:solidFill>
          <a:srgbClr val="FFFFFF"/>
        </a:solidFill>
      </c:spPr>
    </c:plotArea>
    <c:plotVisOnly val="1"/>
    <c:dispBlanksAs val="zero"/>
    <c:showDLblsOverMax val="1"/>
  </c:chart>
  <c:printSettings>
    <c:headerFooter/>
    <c:pageMargins b="0.78740157499999996" l="0.511811024" r="0.511811024" t="0.78740157499999996" header="0.31496062000000108" footer="0.31496062000000108"/>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lang val="pt-BR"/>
  <c:roundedCorners val="1"/>
  <c:chart>
    <c:title>
      <c:tx>
        <c:rich>
          <a:bodyPr/>
          <a:lstStyle/>
          <a:p>
            <a:pPr>
              <a:defRPr sz="1600" b="1">
                <a:solidFill>
                  <a:srgbClr val="000000"/>
                </a:solidFill>
              </a:defRPr>
            </a:pPr>
            <a:r>
              <a:rPr lang="pt-BR"/>
              <a:t>Quantidade</a:t>
            </a:r>
          </a:p>
        </c:rich>
      </c:tx>
    </c:title>
    <c:plotArea>
      <c:layout/>
      <c:barChart>
        <c:barDir val="col"/>
        <c:grouping val="clustered"/>
        <c:varyColors val="1"/>
        <c:ser>
          <c:idx val="0"/>
          <c:order val="0"/>
          <c:spPr>
            <a:solidFill>
              <a:srgbClr val="4684EE"/>
            </a:solidFill>
          </c:spPr>
          <c:invertIfNegative val="1"/>
          <c:cat>
            <c:strRef>
              <c:f>Graficos!$A$7:$A$11</c:f>
              <c:strCache>
                <c:ptCount val="5"/>
                <c:pt idx="0">
                  <c:v>Gerenciado</c:v>
                </c:pt>
                <c:pt idx="1">
                  <c:v>Estabelecido</c:v>
                </c:pt>
                <c:pt idx="2">
                  <c:v>Desenvolvimento</c:v>
                </c:pt>
                <c:pt idx="3">
                  <c:v>Base</c:v>
                </c:pt>
                <c:pt idx="4">
                  <c:v>Não existe ou não fiuncioona</c:v>
                </c:pt>
              </c:strCache>
            </c:strRef>
          </c:cat>
          <c:val>
            <c:numRef>
              <c:f>Graficos!$C$7:$C$11</c:f>
              <c:numCache>
                <c:formatCode>General</c:formatCode>
                <c:ptCount val="5"/>
                <c:pt idx="0">
                  <c:v>0</c:v>
                </c:pt>
                <c:pt idx="1">
                  <c:v>0</c:v>
                </c:pt>
                <c:pt idx="2">
                  <c:v>0</c:v>
                </c:pt>
                <c:pt idx="3">
                  <c:v>1</c:v>
                </c:pt>
                <c:pt idx="4">
                  <c:v>0</c:v>
                </c:pt>
              </c:numCache>
            </c:numRef>
          </c:val>
          <c:extLst>
            <c:ext xmlns:c14="http://schemas.microsoft.com/office/drawing/2007/8/2/chart" uri="{6F2FDCE9-48DA-4B69-8628-5D25D57E5C99}">
              <c14:invertSolidFillFmt>
                <c14:spPr xmlns:c14="http://schemas.microsoft.com/office/drawing/2007/8/2/chart">
                  <a:solidFill>
                    <a:srgbClr val="FFFFFF"/>
                  </a:solidFill>
                </c14:spPr>
              </c14:invertSolidFillFmt>
            </c:ext>
          </c:extLst>
        </c:ser>
        <c:ser>
          <c:idx val="1"/>
          <c:order val="1"/>
          <c:spPr>
            <a:solidFill>
              <a:srgbClr val="DC3912"/>
            </a:solidFill>
          </c:spPr>
          <c:invertIfNegative val="1"/>
          <c:cat>
            <c:strRef>
              <c:f>Graficos!$A$7:$A$11</c:f>
              <c:strCache>
                <c:ptCount val="5"/>
                <c:pt idx="0">
                  <c:v>Gerenciado</c:v>
                </c:pt>
                <c:pt idx="1">
                  <c:v>Estabelecido</c:v>
                </c:pt>
                <c:pt idx="2">
                  <c:v>Desenvolvimento</c:v>
                </c:pt>
                <c:pt idx="3">
                  <c:v>Base</c:v>
                </c:pt>
                <c:pt idx="4">
                  <c:v>Não existe ou não fiuncioona</c:v>
                </c:pt>
              </c:strCache>
            </c:strRef>
          </c:cat>
          <c:val>
            <c:numRef>
              <c:f>Graficos!$E$7:$E$11</c:f>
              <c:numCache>
                <c:formatCode>General</c:formatCode>
                <c:ptCount val="5"/>
                <c:pt idx="0">
                  <c:v>21</c:v>
                </c:pt>
                <c:pt idx="1">
                  <c:v>20</c:v>
                </c:pt>
                <c:pt idx="2">
                  <c:v>16</c:v>
                </c:pt>
                <c:pt idx="3">
                  <c:v>13</c:v>
                </c:pt>
                <c:pt idx="4">
                  <c:v>11</c:v>
                </c:pt>
              </c:numCache>
            </c:numRef>
          </c:val>
          <c:extLst>
            <c:ext xmlns:c14="http://schemas.microsoft.com/office/drawing/2007/8/2/chart" uri="{6F2FDCE9-48DA-4B69-8628-5D25D57E5C99}">
              <c14:invertSolidFillFmt>
                <c14:spPr xmlns:c14="http://schemas.microsoft.com/office/drawing/2007/8/2/chart">
                  <a:solidFill>
                    <a:srgbClr val="FFFFFF"/>
                  </a:solidFill>
                </c14:spPr>
              </c14:invertSolidFillFmt>
            </c:ext>
          </c:extLst>
        </c:ser>
        <c:axId val="46811392"/>
        <c:axId val="46817280"/>
      </c:barChart>
      <c:catAx>
        <c:axId val="46811392"/>
        <c:scaling>
          <c:orientation val="minMax"/>
        </c:scaling>
        <c:axPos val="b"/>
        <c:numFmt formatCode="General" sourceLinked="0"/>
        <c:majorTickMark val="cross"/>
        <c:minorTickMark val="cross"/>
        <c:tickLblPos val="nextTo"/>
        <c:txPr>
          <a:bodyPr/>
          <a:lstStyle/>
          <a:p>
            <a:pPr>
              <a:defRPr/>
            </a:pPr>
            <a:endParaRPr lang="pt-BR"/>
          </a:p>
        </c:txPr>
        <c:crossAx val="46817280"/>
        <c:crosses val="autoZero"/>
        <c:auto val="1"/>
        <c:lblAlgn val="ctr"/>
        <c:lblOffset val="100"/>
        <c:noMultiLvlLbl val="1"/>
      </c:catAx>
      <c:valAx>
        <c:axId val="46817280"/>
        <c:scaling>
          <c:orientation val="minMax"/>
        </c:scaling>
        <c:axPos val="l"/>
        <c:majorGridlines>
          <c:spPr>
            <a:ln>
              <a:solidFill>
                <a:srgbClr val="B7B7B7"/>
              </a:solidFill>
            </a:ln>
          </c:spPr>
        </c:majorGridlines>
        <c:numFmt formatCode="General" sourceLinked="1"/>
        <c:majorTickMark val="cross"/>
        <c:minorTickMark val="cross"/>
        <c:tickLblPos val="nextTo"/>
        <c:spPr>
          <a:ln w="47625">
            <a:noFill/>
          </a:ln>
        </c:spPr>
        <c:txPr>
          <a:bodyPr/>
          <a:lstStyle/>
          <a:p>
            <a:pPr>
              <a:defRPr/>
            </a:pPr>
            <a:endParaRPr lang="pt-BR"/>
          </a:p>
        </c:txPr>
        <c:crossAx val="46811392"/>
        <c:crosses val="autoZero"/>
        <c:crossBetween val="between"/>
      </c:valAx>
    </c:plotArea>
    <c:plotVisOnly val="1"/>
    <c:dispBlanksAs val="zero"/>
    <c:showDLblsOverMax val="1"/>
  </c:chart>
  <c:printSettings>
    <c:headerFooter/>
    <c:pageMargins b="0.78740157499999996" l="0.511811024" r="0.511811024" t="0.78740157499999996" header="0.31496062000000108" footer="0.31496062000000108"/>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lang val="pt-BR"/>
  <c:roundedCorners val="1"/>
  <c:chart>
    <c:title>
      <c:tx>
        <c:rich>
          <a:bodyPr/>
          <a:lstStyle/>
          <a:p>
            <a:pPr>
              <a:defRPr sz="1600" b="1">
                <a:solidFill>
                  <a:srgbClr val="000000"/>
                </a:solidFill>
              </a:defRPr>
            </a:pPr>
            <a:r>
              <a:rPr lang="pt-BR"/>
              <a:t>Percentual</a:t>
            </a:r>
          </a:p>
        </c:rich>
      </c:tx>
    </c:title>
    <c:plotArea>
      <c:layout/>
      <c:barChart>
        <c:barDir val="col"/>
        <c:grouping val="clustered"/>
        <c:varyColors val="1"/>
        <c:ser>
          <c:idx val="0"/>
          <c:order val="0"/>
          <c:spPr>
            <a:solidFill>
              <a:srgbClr val="4684EE"/>
            </a:solidFill>
          </c:spPr>
          <c:invertIfNegative val="1"/>
          <c:cat>
            <c:strRef>
              <c:f>Graficos!$A$7:$A$11</c:f>
              <c:strCache>
                <c:ptCount val="5"/>
                <c:pt idx="0">
                  <c:v>Gerenciado</c:v>
                </c:pt>
                <c:pt idx="1">
                  <c:v>Estabelecido</c:v>
                </c:pt>
                <c:pt idx="2">
                  <c:v>Desenvolvimento</c:v>
                </c:pt>
                <c:pt idx="3">
                  <c:v>Base</c:v>
                </c:pt>
                <c:pt idx="4">
                  <c:v>Não existe ou não fiuncioona</c:v>
                </c:pt>
              </c:strCache>
            </c:strRef>
          </c:cat>
          <c:val>
            <c:numRef>
              <c:f>Graficos!$D$7:$D$11</c:f>
              <c:numCache>
                <c:formatCode>0%</c:formatCode>
                <c:ptCount val="5"/>
                <c:pt idx="0">
                  <c:v>0</c:v>
                </c:pt>
                <c:pt idx="1">
                  <c:v>0</c:v>
                </c:pt>
                <c:pt idx="2">
                  <c:v>0</c:v>
                </c:pt>
                <c:pt idx="3">
                  <c:v>1</c:v>
                </c:pt>
                <c:pt idx="4">
                  <c:v>0</c:v>
                </c:pt>
              </c:numCache>
            </c:numRef>
          </c:val>
          <c:extLst>
            <c:ext xmlns:c14="http://schemas.microsoft.com/office/drawing/2007/8/2/chart" uri="{6F2FDCE9-48DA-4B69-8628-5D25D57E5C99}">
              <c14:invertSolidFillFmt>
                <c14:spPr xmlns:c14="http://schemas.microsoft.com/office/drawing/2007/8/2/chart">
                  <a:solidFill>
                    <a:srgbClr val="FFFFFF"/>
                  </a:solidFill>
                </c14:spPr>
              </c14:invertSolidFillFmt>
            </c:ext>
          </c:extLst>
        </c:ser>
        <c:ser>
          <c:idx val="1"/>
          <c:order val="1"/>
          <c:spPr>
            <a:solidFill>
              <a:srgbClr val="DC3912"/>
            </a:solidFill>
          </c:spPr>
          <c:invertIfNegative val="1"/>
          <c:cat>
            <c:strRef>
              <c:f>Graficos!$A$7:$A$11</c:f>
              <c:strCache>
                <c:ptCount val="5"/>
                <c:pt idx="0">
                  <c:v>Gerenciado</c:v>
                </c:pt>
                <c:pt idx="1">
                  <c:v>Estabelecido</c:v>
                </c:pt>
                <c:pt idx="2">
                  <c:v>Desenvolvimento</c:v>
                </c:pt>
                <c:pt idx="3">
                  <c:v>Base</c:v>
                </c:pt>
                <c:pt idx="4">
                  <c:v>Não existe ou não fiuncioona</c:v>
                </c:pt>
              </c:strCache>
            </c:strRef>
          </c:cat>
          <c:val>
            <c:numRef>
              <c:f>Graficos!$F$7:$F$11</c:f>
              <c:numCache>
                <c:formatCode>0%</c:formatCode>
                <c:ptCount val="5"/>
                <c:pt idx="0">
                  <c:v>0.25925925925925924</c:v>
                </c:pt>
                <c:pt idx="1">
                  <c:v>0.24691358024691357</c:v>
                </c:pt>
                <c:pt idx="2">
                  <c:v>0.19753086419753085</c:v>
                </c:pt>
                <c:pt idx="3">
                  <c:v>0.16049382716049382</c:v>
                </c:pt>
                <c:pt idx="4">
                  <c:v>0.13580246913580246</c:v>
                </c:pt>
              </c:numCache>
            </c:numRef>
          </c:val>
          <c:extLst>
            <c:ext xmlns:c14="http://schemas.microsoft.com/office/drawing/2007/8/2/chart" uri="{6F2FDCE9-48DA-4B69-8628-5D25D57E5C99}">
              <c14:invertSolidFillFmt>
                <c14:spPr xmlns:c14="http://schemas.microsoft.com/office/drawing/2007/8/2/chart">
                  <a:solidFill>
                    <a:srgbClr val="FFFFFF"/>
                  </a:solidFill>
                </c14:spPr>
              </c14:invertSolidFillFmt>
            </c:ext>
          </c:extLst>
        </c:ser>
        <c:axId val="46843392"/>
        <c:axId val="46844928"/>
      </c:barChart>
      <c:catAx>
        <c:axId val="46843392"/>
        <c:scaling>
          <c:orientation val="minMax"/>
        </c:scaling>
        <c:axPos val="b"/>
        <c:numFmt formatCode="General" sourceLinked="0"/>
        <c:majorTickMark val="cross"/>
        <c:minorTickMark val="cross"/>
        <c:tickLblPos val="nextTo"/>
        <c:txPr>
          <a:bodyPr/>
          <a:lstStyle/>
          <a:p>
            <a:pPr>
              <a:defRPr/>
            </a:pPr>
            <a:endParaRPr lang="pt-BR"/>
          </a:p>
        </c:txPr>
        <c:crossAx val="46844928"/>
        <c:crosses val="autoZero"/>
        <c:auto val="1"/>
        <c:lblAlgn val="ctr"/>
        <c:lblOffset val="100"/>
        <c:noMultiLvlLbl val="1"/>
      </c:catAx>
      <c:valAx>
        <c:axId val="46844928"/>
        <c:scaling>
          <c:orientation val="minMax"/>
        </c:scaling>
        <c:axPos val="l"/>
        <c:majorGridlines>
          <c:spPr>
            <a:ln>
              <a:solidFill>
                <a:srgbClr val="B7B7B7"/>
              </a:solidFill>
            </a:ln>
          </c:spPr>
        </c:majorGridlines>
        <c:numFmt formatCode="0%" sourceLinked="1"/>
        <c:majorTickMark val="cross"/>
        <c:minorTickMark val="cross"/>
        <c:tickLblPos val="nextTo"/>
        <c:spPr>
          <a:ln w="47625">
            <a:noFill/>
          </a:ln>
        </c:spPr>
        <c:txPr>
          <a:bodyPr/>
          <a:lstStyle/>
          <a:p>
            <a:pPr>
              <a:defRPr/>
            </a:pPr>
            <a:endParaRPr lang="pt-BR"/>
          </a:p>
        </c:txPr>
        <c:crossAx val="46843392"/>
        <c:crosses val="autoZero"/>
        <c:crossBetween val="between"/>
      </c:valAx>
    </c:plotArea>
    <c:plotVisOnly val="1"/>
    <c:dispBlanksAs val="zero"/>
    <c:showDLblsOverMax val="1"/>
  </c:chart>
  <c:printSettings>
    <c:headerFooter/>
    <c:pageMargins b="0.78740157499999996" l="0.511811024" r="0.511811024" t="0.78740157499999996" header="0.31496062000000108" footer="0.31496062000000108"/>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0</xdr:col>
      <xdr:colOff>47625</xdr:colOff>
      <xdr:row>33</xdr:row>
      <xdr:rowOff>95250</xdr:rowOff>
    </xdr:from>
    <xdr:to>
      <xdr:col>11</xdr:col>
      <xdr:colOff>990600</xdr:colOff>
      <xdr:row>63</xdr:row>
      <xdr:rowOff>38100</xdr:rowOff>
    </xdr:to>
    <xdr:graphicFrame macro="">
      <xdr:nvGraphicFramePr>
        <xdr:cNvPr id="3"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xdr:from>
      <xdr:col>0</xdr:col>
      <xdr:colOff>85725</xdr:colOff>
      <xdr:row>77</xdr:row>
      <xdr:rowOff>161925</xdr:rowOff>
    </xdr:from>
    <xdr:to>
      <xdr:col>11</xdr:col>
      <xdr:colOff>619125</xdr:colOff>
      <xdr:row>81</xdr:row>
      <xdr:rowOff>161925</xdr:rowOff>
    </xdr:to>
    <xdr:grpSp>
      <xdr:nvGrpSpPr>
        <xdr:cNvPr id="2" name="Shape 1"/>
        <xdr:cNvGrpSpPr/>
      </xdr:nvGrpSpPr>
      <xdr:grpSpPr>
        <a:xfrm>
          <a:off x="85725" y="16678275"/>
          <a:ext cx="7258050" cy="762000"/>
          <a:chOff x="1712213" y="3399000"/>
          <a:chExt cx="7267575" cy="762000"/>
        </a:xfrm>
      </xdr:grpSpPr>
      <xdr:grpSp>
        <xdr:nvGrpSpPr>
          <xdr:cNvPr id="4" name="Shape 2"/>
          <xdr:cNvGrpSpPr/>
        </xdr:nvGrpSpPr>
        <xdr:grpSpPr>
          <a:xfrm>
            <a:off x="1712213" y="3399000"/>
            <a:ext cx="7267575" cy="762000"/>
            <a:chOff x="1716975" y="3399000"/>
            <a:chExt cx="7258049" cy="762000"/>
          </a:xfrm>
        </xdr:grpSpPr>
        <xdr:sp macro="" textlink="">
          <xdr:nvSpPr>
            <xdr:cNvPr id="5" name="Shape 3"/>
            <xdr:cNvSpPr/>
          </xdr:nvSpPr>
          <xdr:spPr>
            <a:xfrm>
              <a:off x="1716975" y="3399000"/>
              <a:ext cx="7258025" cy="762000"/>
            </a:xfrm>
            <a:prstGeom prst="rect">
              <a:avLst/>
            </a:prstGeom>
            <a:noFill/>
            <a:ln>
              <a:noFill/>
            </a:ln>
          </xdr:spPr>
          <xdr:txBody>
            <a:bodyPr lIns="91425" tIns="91425" rIns="91425" bIns="91425" anchor="ctr" anchorCtr="0">
              <a:noAutofit/>
            </a:bodyPr>
            <a:lstStyle/>
            <a:p>
              <a:pPr>
                <a:spcBef>
                  <a:spcPts val="0"/>
                </a:spcBef>
                <a:buNone/>
              </a:pPr>
              <a:endParaRPr/>
            </a:p>
          </xdr:txBody>
        </xdr:sp>
        <xdr:sp macro="" textlink="">
          <xdr:nvSpPr>
            <xdr:cNvPr id="6" name="Shape 4"/>
            <xdr:cNvSpPr txBox="1"/>
          </xdr:nvSpPr>
          <xdr:spPr>
            <a:xfrm>
              <a:off x="1716975" y="3399000"/>
              <a:ext cx="7258049" cy="762000"/>
            </a:xfrm>
            <a:prstGeom prst="rect">
              <a:avLst/>
            </a:prstGeom>
            <a:solidFill>
              <a:srgbClr val="FFFFFF"/>
            </a:solidFill>
            <a:ln w="9525" cap="flat" cmpd="sng">
              <a:solidFill>
                <a:srgbClr val="BCBCBC"/>
              </a:solidFill>
              <a:prstDash val="solid"/>
              <a:miter/>
              <a:headEnd type="none" w="med" len="med"/>
              <a:tailEnd type="none" w="med" len="med"/>
            </a:ln>
          </xdr:spPr>
          <xdr:txBody>
            <a:bodyPr lIns="27425" tIns="27425" rIns="0" bIns="0" anchor="t" anchorCtr="0">
              <a:noAutofit/>
            </a:bodyPr>
            <a:lstStyle/>
            <a:p>
              <a:pPr marL="0" marR="0" lvl="0" indent="0" algn="l" rtl="0">
                <a:spcBef>
                  <a:spcPts val="0"/>
                </a:spcBef>
                <a:buClr>
                  <a:srgbClr val="000000"/>
                </a:buClr>
                <a:buSzPct val="25000"/>
                <a:buFont typeface="Calibri"/>
                <a:buNone/>
              </a:pPr>
              <a:r>
                <a:rPr lang="en-US" sz="1100" b="0" i="0" u="none" strike="noStrike" cap="none" baseline="0">
                  <a:solidFill>
                    <a:srgbClr val="000000"/>
                  </a:solidFill>
                  <a:latin typeface="Calibri"/>
                  <a:ea typeface="Calibri"/>
                  <a:cs typeface="Calibri"/>
                  <a:sym typeface="Calibri"/>
                </a:rPr>
                <a:t>Adesão =  100  - Padrão </a:t>
              </a:r>
              <a:r>
                <a:rPr lang="en-US" sz="1100" b="1" i="0" u="none" strike="noStrike" cap="none" baseline="0">
                  <a:solidFill>
                    <a:srgbClr val="000000"/>
                  </a:solidFill>
                  <a:latin typeface="Calibri"/>
                  <a:ea typeface="Calibri"/>
                  <a:cs typeface="Calibri"/>
                  <a:sym typeface="Calibri"/>
                </a:rPr>
                <a:t>Excelência</a:t>
              </a:r>
              <a:r>
                <a:rPr lang="en-US" sz="1100" b="0" i="0" u="none" strike="noStrike" cap="none" baseline="0">
                  <a:solidFill>
                    <a:srgbClr val="000000"/>
                  </a:solidFill>
                  <a:latin typeface="Calibri"/>
                  <a:ea typeface="Calibri"/>
                  <a:cs typeface="Calibri"/>
                  <a:sym typeface="Calibri"/>
                </a:rPr>
                <a:t>: Referência para demais TCs na prática em questão;</a:t>
              </a:r>
            </a:p>
            <a:p>
              <a:pPr marL="0" marR="0" lvl="0" indent="0" algn="l" rtl="0">
                <a:spcBef>
                  <a:spcPts val="0"/>
                </a:spcBef>
                <a:buClr>
                  <a:srgbClr val="000000"/>
                </a:buClr>
                <a:buSzPct val="25000"/>
                <a:buFont typeface="Calibri"/>
                <a:buNone/>
              </a:pPr>
              <a:r>
                <a:rPr lang="en-US" sz="1100" b="0" i="0" u="none" strike="noStrike" cap="none" baseline="0">
                  <a:solidFill>
                    <a:srgbClr val="000000"/>
                  </a:solidFill>
                  <a:latin typeface="Calibri"/>
                  <a:ea typeface="Calibri"/>
                  <a:cs typeface="Calibri"/>
                  <a:sym typeface="Calibri"/>
                </a:rPr>
                <a:t>90 ≤ Adesão ≤  99 - Padrão </a:t>
              </a:r>
              <a:r>
                <a:rPr lang="en-US" sz="1100" b="1" i="0" u="none" strike="noStrike" cap="none" baseline="0">
                  <a:solidFill>
                    <a:srgbClr val="000000"/>
                  </a:solidFill>
                  <a:latin typeface="Calibri"/>
                  <a:ea typeface="Calibri"/>
                  <a:cs typeface="Calibri"/>
                  <a:sym typeface="Calibri"/>
                </a:rPr>
                <a:t>Bom</a:t>
              </a:r>
              <a:r>
                <a:rPr lang="en-US" sz="1100" b="0" i="0" u="none" strike="noStrike" cap="none" baseline="0">
                  <a:solidFill>
                    <a:srgbClr val="000000"/>
                  </a:solidFill>
                  <a:latin typeface="Calibri"/>
                  <a:ea typeface="Calibri"/>
                  <a:cs typeface="Calibri"/>
                  <a:sym typeface="Calibri"/>
                </a:rPr>
                <a:t> : O Nível de Maturidade permite a organização dominar a prática em questão;</a:t>
              </a:r>
            </a:p>
            <a:p>
              <a:pPr marL="0" marR="0" lvl="0" indent="0" algn="l" rtl="0">
                <a:spcBef>
                  <a:spcPts val="0"/>
                </a:spcBef>
                <a:buClr>
                  <a:srgbClr val="000000"/>
                </a:buClr>
                <a:buSzPct val="25000"/>
                <a:buFont typeface="Calibri"/>
                <a:buNone/>
              </a:pPr>
              <a:r>
                <a:rPr lang="en-US" sz="1100" b="0" i="0" u="none" strike="noStrike" cap="none" baseline="0">
                  <a:solidFill>
                    <a:srgbClr val="000000"/>
                  </a:solidFill>
                  <a:latin typeface="Calibri"/>
                  <a:ea typeface="Calibri"/>
                  <a:cs typeface="Calibri"/>
                  <a:sym typeface="Calibri"/>
                </a:rPr>
                <a:t>Adesão ≤  89 - Padrão </a:t>
              </a:r>
              <a:r>
                <a:rPr lang="en-US" sz="1100" b="1" i="0" u="none" strike="noStrike" cap="none" baseline="0">
                  <a:solidFill>
                    <a:srgbClr val="000000"/>
                  </a:solidFill>
                  <a:latin typeface="Calibri"/>
                  <a:ea typeface="Calibri"/>
                  <a:cs typeface="Calibri"/>
                  <a:sym typeface="Calibri"/>
                </a:rPr>
                <a:t>Fraco</a:t>
              </a:r>
              <a:r>
                <a:rPr lang="en-US" sz="1100" b="0" i="0" u="none" strike="noStrike" cap="none" baseline="0">
                  <a:solidFill>
                    <a:srgbClr val="000000"/>
                  </a:solidFill>
                  <a:latin typeface="Calibri"/>
                  <a:ea typeface="Calibri"/>
                  <a:cs typeface="Calibri"/>
                  <a:sym typeface="Calibri"/>
                </a:rPr>
                <a:t>:Prática em desenvolvimento e ainda não consolidada ou disseminada por toda a organização </a:t>
              </a:r>
            </a:p>
          </xdr:txBody>
        </xdr:sp>
      </xdr:grpSp>
    </xdr:grpSp>
    <xdr:clientData fLocksWithSheet="0"/>
  </xdr:twoCellAnchor>
</xdr:wsDr>
</file>

<file path=xl/drawings/drawing2.xml><?xml version="1.0" encoding="utf-8"?>
<xdr:wsDr xmlns:xdr="http://schemas.openxmlformats.org/drawingml/2006/spreadsheetDrawing" xmlns:a="http://schemas.openxmlformats.org/drawingml/2006/main">
  <xdr:twoCellAnchor>
    <xdr:from>
      <xdr:col>0</xdr:col>
      <xdr:colOff>57150</xdr:colOff>
      <xdr:row>11</xdr:row>
      <xdr:rowOff>352425</xdr:rowOff>
    </xdr:from>
    <xdr:to>
      <xdr:col>7</xdr:col>
      <xdr:colOff>1066800</xdr:colOff>
      <xdr:row>22</xdr:row>
      <xdr:rowOff>66675</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xdr:from>
      <xdr:col>0</xdr:col>
      <xdr:colOff>57150</xdr:colOff>
      <xdr:row>20</xdr:row>
      <xdr:rowOff>466725</xdr:rowOff>
    </xdr:from>
    <xdr:to>
      <xdr:col>7</xdr:col>
      <xdr:colOff>1076325</xdr:colOff>
      <xdr:row>31</xdr:row>
      <xdr:rowOff>85725</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QATC01" TargetMode="External"/></Relationships>
</file>

<file path=xl/externalLinks/_rels/externalLink10.xml.rels><?xml version="1.0" encoding="UTF-8" standalone="yes"?>
<Relationships xmlns="http://schemas.openxmlformats.org/package/2006/relationships"><Relationship Id="rId1" Type="http://schemas.microsoft.com/office/2006/relationships/xlExternalLinkPath/xlPathMissing" Target="QATC10" TargetMode="External"/></Relationships>
</file>

<file path=xl/externalLinks/_rels/externalLink11.xml.rels><?xml version="1.0" encoding="UTF-8" standalone="yes"?>
<Relationships xmlns="http://schemas.openxmlformats.org/package/2006/relationships"><Relationship Id="rId1" Type="http://schemas.microsoft.com/office/2006/relationships/xlExternalLinkPath/xlPathMissing" Target="QATC11" TargetMode="External"/></Relationships>
</file>

<file path=xl/externalLinks/_rels/externalLink12.xml.rels><?xml version="1.0" encoding="UTF-8" standalone="yes"?>
<Relationships xmlns="http://schemas.openxmlformats.org/package/2006/relationships"><Relationship Id="rId1" Type="http://schemas.microsoft.com/office/2006/relationships/xlExternalLinkPath/xlPathMissing" Target="QATC12" TargetMode="External"/></Relationships>
</file>

<file path=xl/externalLinks/_rels/externalLink13.xml.rels><?xml version="1.0" encoding="UTF-8" standalone="yes"?>
<Relationships xmlns="http://schemas.openxmlformats.org/package/2006/relationships"><Relationship Id="rId1" Type="http://schemas.microsoft.com/office/2006/relationships/xlExternalLinkPath/xlPathMissing" Target="QATC13" TargetMode="External"/></Relationships>
</file>

<file path=xl/externalLinks/_rels/externalLink14.xml.rels><?xml version="1.0" encoding="UTF-8" standalone="yes"?>
<Relationships xmlns="http://schemas.openxmlformats.org/package/2006/relationships"><Relationship Id="rId1" Type="http://schemas.microsoft.com/office/2006/relationships/xlExternalLinkPath/xlPathMissing" Target="QATC14" TargetMode="External"/></Relationships>
</file>

<file path=xl/externalLinks/_rels/externalLink15.xml.rels><?xml version="1.0" encoding="UTF-8" standalone="yes"?>
<Relationships xmlns="http://schemas.openxmlformats.org/package/2006/relationships"><Relationship Id="rId1" Type="http://schemas.microsoft.com/office/2006/relationships/xlExternalLinkPath/xlPathMissing" Target="QATC15" TargetMode="External"/></Relationships>
</file>

<file path=xl/externalLinks/_rels/externalLink16.xml.rels><?xml version="1.0" encoding="UTF-8" standalone="yes"?>
<Relationships xmlns="http://schemas.openxmlformats.org/package/2006/relationships"><Relationship Id="rId1" Type="http://schemas.microsoft.com/office/2006/relationships/xlExternalLinkPath/xlPathMissing" Target="QATC16" TargetMode="External"/></Relationships>
</file>

<file path=xl/externalLinks/_rels/externalLink17.xml.rels><?xml version="1.0" encoding="UTF-8" standalone="yes"?>
<Relationships xmlns="http://schemas.openxmlformats.org/package/2006/relationships"><Relationship Id="rId1" Type="http://schemas.microsoft.com/office/2006/relationships/xlExternalLinkPath/xlPathMissing" Target="QATC17" TargetMode="External"/></Relationships>
</file>

<file path=xl/externalLinks/_rels/externalLink18.xml.rels><?xml version="1.0" encoding="UTF-8" standalone="yes"?>
<Relationships xmlns="http://schemas.openxmlformats.org/package/2006/relationships"><Relationship Id="rId1" Type="http://schemas.microsoft.com/office/2006/relationships/xlExternalLinkPath/xlPathMissing" Target="QATC18" TargetMode="External"/></Relationships>
</file>

<file path=xl/externalLinks/_rels/externalLink19.xml.rels><?xml version="1.0" encoding="UTF-8" standalone="yes"?>
<Relationships xmlns="http://schemas.openxmlformats.org/package/2006/relationships"><Relationship Id="rId1" Type="http://schemas.microsoft.com/office/2006/relationships/xlExternalLinkPath/xlPathMissing" Target="QATC19"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QATC02" TargetMode="External"/></Relationships>
</file>

<file path=xl/externalLinks/_rels/externalLink20.xml.rels><?xml version="1.0" encoding="UTF-8" standalone="yes"?>
<Relationships xmlns="http://schemas.openxmlformats.org/package/2006/relationships"><Relationship Id="rId1" Type="http://schemas.microsoft.com/office/2006/relationships/xlExternalLinkPath/xlPathMissing" Target="QATC20" TargetMode="External"/></Relationships>
</file>

<file path=xl/externalLinks/_rels/externalLink21.xml.rels><?xml version="1.0" encoding="UTF-8" standalone="yes"?>
<Relationships xmlns="http://schemas.openxmlformats.org/package/2006/relationships"><Relationship Id="rId1" Type="http://schemas.microsoft.com/office/2006/relationships/xlExternalLinkPath/xlPathMissing" Target="QATC21" TargetMode="External"/></Relationships>
</file>

<file path=xl/externalLinks/_rels/externalLink22.xml.rels><?xml version="1.0" encoding="UTF-8" standalone="yes"?>
<Relationships xmlns="http://schemas.openxmlformats.org/package/2006/relationships"><Relationship Id="rId1" Type="http://schemas.microsoft.com/office/2006/relationships/xlExternalLinkPath/xlPathMissing" Target="QATC22" TargetMode="External"/></Relationships>
</file>

<file path=xl/externalLinks/_rels/externalLink23.xml.rels><?xml version="1.0" encoding="UTF-8" standalone="yes"?>
<Relationships xmlns="http://schemas.openxmlformats.org/package/2006/relationships"><Relationship Id="rId1" Type="http://schemas.microsoft.com/office/2006/relationships/xlExternalLinkPath/xlPathMissing" Target="QATC23" TargetMode="External"/></Relationships>
</file>

<file path=xl/externalLinks/_rels/externalLink24.xml.rels><?xml version="1.0" encoding="UTF-8" standalone="yes"?>
<Relationships xmlns="http://schemas.openxmlformats.org/package/2006/relationships"><Relationship Id="rId1" Type="http://schemas.microsoft.com/office/2006/relationships/xlExternalLinkPath/xlPathMissing" Target="QATC24" TargetMode="External"/></Relationships>
</file>

<file path=xl/externalLinks/_rels/externalLink25.xml.rels><?xml version="1.0" encoding="UTF-8" standalone="yes"?>
<Relationships xmlns="http://schemas.openxmlformats.org/package/2006/relationships"><Relationship Id="rId1" Type="http://schemas.microsoft.com/office/2006/relationships/xlExternalLinkPath/xlPathMissing" Target="QATC25" TargetMode="External"/></Relationships>
</file>

<file path=xl/externalLinks/_rels/externalLink26.xml.rels><?xml version="1.0" encoding="UTF-8" standalone="yes"?>
<Relationships xmlns="http://schemas.openxmlformats.org/package/2006/relationships"><Relationship Id="rId1" Type="http://schemas.microsoft.com/office/2006/relationships/xlExternalLinkPath/xlPathMissing" Target="QATC26" TargetMode="External"/></Relationships>
</file>

<file path=xl/externalLinks/_rels/externalLink27.xml.rels><?xml version="1.0" encoding="UTF-8" standalone="yes"?>
<Relationships xmlns="http://schemas.openxmlformats.org/package/2006/relationships"><Relationship Id="rId1" Type="http://schemas.microsoft.com/office/2006/relationships/xlExternalLinkPath/xlPathMissing" Target="QATC27"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QATC03"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QATC04" TargetMode="External"/></Relationships>
</file>

<file path=xl/externalLinks/_rels/externalLink5.xml.rels><?xml version="1.0" encoding="UTF-8" standalone="yes"?>
<Relationships xmlns="http://schemas.openxmlformats.org/package/2006/relationships"><Relationship Id="rId1" Type="http://schemas.microsoft.com/office/2006/relationships/xlExternalLinkPath/xlPathMissing" Target="QATC05" TargetMode="External"/></Relationships>
</file>

<file path=xl/externalLinks/_rels/externalLink6.xml.rels><?xml version="1.0" encoding="UTF-8" standalone="yes"?>
<Relationships xmlns="http://schemas.openxmlformats.org/package/2006/relationships"><Relationship Id="rId1" Type="http://schemas.microsoft.com/office/2006/relationships/xlExternalLinkPath/xlPathMissing" Target="QATC06" TargetMode="External"/></Relationships>
</file>

<file path=xl/externalLinks/_rels/externalLink7.xml.rels><?xml version="1.0" encoding="UTF-8" standalone="yes"?>
<Relationships xmlns="http://schemas.openxmlformats.org/package/2006/relationships"><Relationship Id="rId1" Type="http://schemas.microsoft.com/office/2006/relationships/xlExternalLinkPath/xlPathMissing" Target="QATC07" TargetMode="External"/></Relationships>
</file>

<file path=xl/externalLinks/_rels/externalLink8.xml.rels><?xml version="1.0" encoding="UTF-8" standalone="yes"?>
<Relationships xmlns="http://schemas.openxmlformats.org/package/2006/relationships"><Relationship Id="rId1" Type="http://schemas.microsoft.com/office/2006/relationships/xlExternalLinkPath/xlPathMissing" Target="QATC08" TargetMode="External"/></Relationships>
</file>

<file path=xl/externalLinks/_rels/externalLink9.xml.rels><?xml version="1.0" encoding="UTF-8" standalone="yes"?>
<Relationships xmlns="http://schemas.openxmlformats.org/package/2006/relationships"><Relationship Id="rId1" Type="http://schemas.microsoft.com/office/2006/relationships/xlExternalLinkPath/xlPathMissing" Target="QATC09"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QATC01"/>
    </sheetNames>
    <sheetDataSet>
      <sheetData sheetId="0" refreshError="1"/>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QATC10"/>
    </sheetNames>
    <sheetDataSet>
      <sheetData sheetId="0" refreshError="1"/>
    </sheetDataSet>
  </externalBook>
</externalLink>
</file>

<file path=xl/externalLinks/externalLink11.xml><?xml version="1.0" encoding="utf-8"?>
<externalLink xmlns="http://schemas.openxmlformats.org/spreadsheetml/2006/main">
  <externalBook xmlns:r="http://schemas.openxmlformats.org/officeDocument/2006/relationships" r:id="rId1">
    <sheetNames>
      <sheetName val="QATC11"/>
    </sheetNames>
    <sheetDataSet>
      <sheetData sheetId="0" refreshError="1"/>
    </sheetDataSet>
  </externalBook>
</externalLink>
</file>

<file path=xl/externalLinks/externalLink12.xml><?xml version="1.0" encoding="utf-8"?>
<externalLink xmlns="http://schemas.openxmlformats.org/spreadsheetml/2006/main">
  <externalBook xmlns:r="http://schemas.openxmlformats.org/officeDocument/2006/relationships" r:id="rId1">
    <sheetNames>
      <sheetName val="QATC12"/>
    </sheetNames>
    <sheetDataSet>
      <sheetData sheetId="0" refreshError="1"/>
    </sheetDataSet>
  </externalBook>
</externalLink>
</file>

<file path=xl/externalLinks/externalLink13.xml><?xml version="1.0" encoding="utf-8"?>
<externalLink xmlns="http://schemas.openxmlformats.org/spreadsheetml/2006/main">
  <externalBook xmlns:r="http://schemas.openxmlformats.org/officeDocument/2006/relationships" r:id="rId1">
    <sheetNames>
      <sheetName val="QATC13"/>
    </sheetNames>
    <sheetDataSet>
      <sheetData sheetId="0" refreshError="1"/>
    </sheetDataSet>
  </externalBook>
</externalLink>
</file>

<file path=xl/externalLinks/externalLink14.xml><?xml version="1.0" encoding="utf-8"?>
<externalLink xmlns="http://schemas.openxmlformats.org/spreadsheetml/2006/main">
  <externalBook xmlns:r="http://schemas.openxmlformats.org/officeDocument/2006/relationships" r:id="rId1">
    <sheetNames>
      <sheetName val="QATC14"/>
    </sheetNames>
    <sheetDataSet>
      <sheetData sheetId="0" refreshError="1"/>
    </sheetDataSet>
  </externalBook>
</externalLink>
</file>

<file path=xl/externalLinks/externalLink15.xml><?xml version="1.0" encoding="utf-8"?>
<externalLink xmlns="http://schemas.openxmlformats.org/spreadsheetml/2006/main">
  <externalBook xmlns:r="http://schemas.openxmlformats.org/officeDocument/2006/relationships" r:id="rId1">
    <sheetNames>
      <sheetName val="QATC15"/>
    </sheetNames>
    <sheetDataSet>
      <sheetData sheetId="0" refreshError="1"/>
    </sheetDataSet>
  </externalBook>
</externalLink>
</file>

<file path=xl/externalLinks/externalLink16.xml><?xml version="1.0" encoding="utf-8"?>
<externalLink xmlns="http://schemas.openxmlformats.org/spreadsheetml/2006/main">
  <externalBook xmlns:r="http://schemas.openxmlformats.org/officeDocument/2006/relationships" r:id="rId1">
    <sheetNames>
      <sheetName val="QATC16"/>
    </sheetNames>
    <sheetDataSet>
      <sheetData sheetId="0" refreshError="1"/>
    </sheetDataSet>
  </externalBook>
</externalLink>
</file>

<file path=xl/externalLinks/externalLink17.xml><?xml version="1.0" encoding="utf-8"?>
<externalLink xmlns="http://schemas.openxmlformats.org/spreadsheetml/2006/main">
  <externalBook xmlns:r="http://schemas.openxmlformats.org/officeDocument/2006/relationships" r:id="rId1">
    <sheetNames>
      <sheetName val="QATC17"/>
    </sheetNames>
    <sheetDataSet>
      <sheetData sheetId="0" refreshError="1"/>
    </sheetDataSet>
  </externalBook>
</externalLink>
</file>

<file path=xl/externalLinks/externalLink18.xml><?xml version="1.0" encoding="utf-8"?>
<externalLink xmlns="http://schemas.openxmlformats.org/spreadsheetml/2006/main">
  <externalBook xmlns:r="http://schemas.openxmlformats.org/officeDocument/2006/relationships" r:id="rId1">
    <sheetNames>
      <sheetName val="QATC18"/>
    </sheetNames>
    <sheetDataSet>
      <sheetData sheetId="0" refreshError="1"/>
    </sheetDataSet>
  </externalBook>
</externalLink>
</file>

<file path=xl/externalLinks/externalLink19.xml><?xml version="1.0" encoding="utf-8"?>
<externalLink xmlns="http://schemas.openxmlformats.org/spreadsheetml/2006/main">
  <externalBook xmlns:r="http://schemas.openxmlformats.org/officeDocument/2006/relationships" r:id="rId1">
    <sheetNames>
      <sheetName val="QATC19"/>
    </sheetNames>
    <sheetDataSet>
      <sheetData sheetId="0"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QATC02"/>
    </sheetNames>
    <sheetDataSet>
      <sheetData sheetId="0" refreshError="1"/>
    </sheetDataSet>
  </externalBook>
</externalLink>
</file>

<file path=xl/externalLinks/externalLink20.xml><?xml version="1.0" encoding="utf-8"?>
<externalLink xmlns="http://schemas.openxmlformats.org/spreadsheetml/2006/main">
  <externalBook xmlns:r="http://schemas.openxmlformats.org/officeDocument/2006/relationships" r:id="rId1">
    <sheetNames>
      <sheetName val="QATC20"/>
    </sheetNames>
    <sheetDataSet>
      <sheetData sheetId="0" refreshError="1"/>
    </sheetDataSet>
  </externalBook>
</externalLink>
</file>

<file path=xl/externalLinks/externalLink21.xml><?xml version="1.0" encoding="utf-8"?>
<externalLink xmlns="http://schemas.openxmlformats.org/spreadsheetml/2006/main">
  <externalBook xmlns:r="http://schemas.openxmlformats.org/officeDocument/2006/relationships" r:id="rId1">
    <sheetNames>
      <sheetName val="QATC21"/>
    </sheetNames>
    <sheetDataSet>
      <sheetData sheetId="0" refreshError="1"/>
    </sheetDataSet>
  </externalBook>
</externalLink>
</file>

<file path=xl/externalLinks/externalLink22.xml><?xml version="1.0" encoding="utf-8"?>
<externalLink xmlns="http://schemas.openxmlformats.org/spreadsheetml/2006/main">
  <externalBook xmlns:r="http://schemas.openxmlformats.org/officeDocument/2006/relationships" r:id="rId1">
    <sheetNames>
      <sheetName val="QATC22"/>
    </sheetNames>
    <sheetDataSet>
      <sheetData sheetId="0" refreshError="1"/>
    </sheetDataSet>
  </externalBook>
</externalLink>
</file>

<file path=xl/externalLinks/externalLink23.xml><?xml version="1.0" encoding="utf-8"?>
<externalLink xmlns="http://schemas.openxmlformats.org/spreadsheetml/2006/main">
  <externalBook xmlns:r="http://schemas.openxmlformats.org/officeDocument/2006/relationships" r:id="rId1">
    <sheetNames>
      <sheetName val="QATC23"/>
    </sheetNames>
    <sheetDataSet>
      <sheetData sheetId="0" refreshError="1"/>
    </sheetDataSet>
  </externalBook>
</externalLink>
</file>

<file path=xl/externalLinks/externalLink24.xml><?xml version="1.0" encoding="utf-8"?>
<externalLink xmlns="http://schemas.openxmlformats.org/spreadsheetml/2006/main">
  <externalBook xmlns:r="http://schemas.openxmlformats.org/officeDocument/2006/relationships" r:id="rId1">
    <sheetNames>
      <sheetName val="QATC24"/>
    </sheetNames>
    <sheetDataSet>
      <sheetData sheetId="0" refreshError="1"/>
    </sheetDataSet>
  </externalBook>
</externalLink>
</file>

<file path=xl/externalLinks/externalLink25.xml><?xml version="1.0" encoding="utf-8"?>
<externalLink xmlns="http://schemas.openxmlformats.org/spreadsheetml/2006/main">
  <externalBook xmlns:r="http://schemas.openxmlformats.org/officeDocument/2006/relationships" r:id="rId1">
    <sheetNames>
      <sheetName val="QATC25"/>
    </sheetNames>
    <sheetDataSet>
      <sheetData sheetId="0" refreshError="1"/>
    </sheetDataSet>
  </externalBook>
</externalLink>
</file>

<file path=xl/externalLinks/externalLink26.xml><?xml version="1.0" encoding="utf-8"?>
<externalLink xmlns="http://schemas.openxmlformats.org/spreadsheetml/2006/main">
  <externalBook xmlns:r="http://schemas.openxmlformats.org/officeDocument/2006/relationships" r:id="rId1">
    <sheetNames>
      <sheetName val="QATC26"/>
    </sheetNames>
    <sheetDataSet>
      <sheetData sheetId="0" refreshError="1"/>
    </sheetDataSet>
  </externalBook>
</externalLink>
</file>

<file path=xl/externalLinks/externalLink27.xml><?xml version="1.0" encoding="utf-8"?>
<externalLink xmlns="http://schemas.openxmlformats.org/spreadsheetml/2006/main">
  <externalBook xmlns:r="http://schemas.openxmlformats.org/officeDocument/2006/relationships" r:id="rId1">
    <sheetNames>
      <sheetName val="QATC27"/>
    </sheetNames>
    <sheetDataSet>
      <sheetData sheetId="0"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QATC03"/>
    </sheetNames>
    <sheetDataSet>
      <sheetData sheetId="0"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QATC04"/>
    </sheetNames>
    <sheetDataSet>
      <sheetData sheetId="0"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QATC05"/>
    </sheetNames>
    <sheetDataSet>
      <sheetData sheetId="0"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QATC06"/>
    </sheetNames>
    <sheetDataSet>
      <sheetData sheetId="0" refreshError="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QATC07"/>
    </sheetNames>
    <sheetDataSet>
      <sheetData sheetId="0" refreshError="1"/>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QATC08"/>
    </sheetNames>
    <sheetDataSet>
      <sheetData sheetId="0" refreshError="1"/>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QATC09"/>
    </sheetNames>
    <sheetDataSet>
      <sheetData sheetId="0" refreshError="1"/>
    </sheetDataSet>
  </externalBook>
</externalLink>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file:///\\China\mmd_qatc\Evid&#234;ncias\Dom&#237;nio%20E\AGILIDADE%20NO%20JULGAMENTO%20DE%20PROCESSOS%20E%20GERENCIAMENTO%20DE%20%20PRAZOS%20PELOS%20TRIBUNAIS%20DE%20CONTAS\Medidas%20para%20eliminar%20ou%20reduzir%20o%20estoque%20de%20processos%20e%20gerenciar%20os%20prazos" TargetMode="External"/><Relationship Id="rId21" Type="http://schemas.openxmlformats.org/officeDocument/2006/relationships/hyperlink" Target="file:///\\China\mmd_qatc\Evid&#234;ncias\Dom&#237;nio%20D\GEST&#195;O%20DE%20PESSOAS\Pol&#237;tica%20de%20sa&#250;de%20e%20qualidade%20de%20vida%20no%20trabalho\Item%20a" TargetMode="External"/><Relationship Id="rId42" Type="http://schemas.openxmlformats.org/officeDocument/2006/relationships/hyperlink" Target="file:///\\China\mmd_qatc\Evid&#234;ncias\Dom&#237;nio%20E\INFORMA&#199;&#213;ES%20ESTRAT&#201;GICAS%20PARA%20O%20CONTROLE%20EXTERNO\Marco%20Legal%20da%20unidade%20de%20informa&#231;&#245;es%20estrat&#233;gicas\DIMENSAO%20(I)\LETRA%20B\Termo%20de%20Responsabilidade%20(modelo).doc" TargetMode="External"/><Relationship Id="rId63" Type="http://schemas.openxmlformats.org/officeDocument/2006/relationships/hyperlink" Target="file:///\\China\mmd_qatc\Evid&#234;ncias\Dom&#237;nio%20C\CONTROLE%20INTERNO\Atividades%20de%20controle%20interno%20dos%20Tribunais%20de%20Contas" TargetMode="External"/><Relationship Id="rId84" Type="http://schemas.openxmlformats.org/officeDocument/2006/relationships/hyperlink" Target="file:///\\China\mmd_qatc\Evid&#234;ncias\Dom&#237;nio%20B\Dimens&#227;o%20iii%20-Processo%20de%20planejamento%20estrat&#233;gico\e" TargetMode="External"/><Relationship Id="rId138" Type="http://schemas.openxmlformats.org/officeDocument/2006/relationships/hyperlink" Target="file:///\\China\mmd_qatc\Evid&#234;ncias\Dom&#237;nio%20F\FUNDAMENTOS%20DA%20AUDITORIA%20DE%20CONFORMIDADE\Normas%20e%20orienta&#231;&#245;es%20da%20auditoria%20de%20conformidade" TargetMode="External"/><Relationship Id="rId159" Type="http://schemas.openxmlformats.org/officeDocument/2006/relationships/hyperlink" Target="file:///\\China\mmd_qatc\Evid&#234;ncias\Dom&#237;nio%20F\FUNDAMENTOS%20DA%20AUDITORIA%20OPERACIONAL\&#201;tica%20e%20independ&#234;ncia%20na%20auditoria%20operacional" TargetMode="External"/><Relationship Id="rId170" Type="http://schemas.openxmlformats.org/officeDocument/2006/relationships/hyperlink" Target="file:///\\China\mmd_qatc\Evid&#234;ncias\Dom&#237;nio%20G\AUDITORIA%20FINANCEIRA\Processo%20de%20auditoria%20financeira" TargetMode="External"/><Relationship Id="rId191" Type="http://schemas.openxmlformats.org/officeDocument/2006/relationships/hyperlink" Target="file:///\\China\mmd_qatc\Evid&#234;ncias\Dom&#237;nio%20C\CONTROLE%20INTERNO\Unidade%20de%20Controle%20Interno%20dos%20Tribunais%20de%20Contas" TargetMode="External"/><Relationship Id="rId205" Type="http://schemas.openxmlformats.org/officeDocument/2006/relationships/hyperlink" Target="file:///\\China\mmd_qatc\Evid&#234;ncias\Dom&#237;nio%20H\OUVIDORIA\Estrutura%20da%20Ouvidoria" TargetMode="External"/><Relationship Id="rId226" Type="http://schemas.openxmlformats.org/officeDocument/2006/relationships/hyperlink" Target="file:///\\China\mmd_qatc\Evid&#234;ncias\Dom&#237;nio%20E\INFORMA&#199;&#213;ES%20ESTRAT&#201;GICAS%20PARA%20O%20CONTROLE%20EXTERNO\Marco%20Legal%20da%20unidade%20de%20informa&#231;&#245;es%20estrat&#233;gicas\DIMENSAO%20(IV)\LETRA%20B" TargetMode="External"/><Relationship Id="rId247" Type="http://schemas.openxmlformats.org/officeDocument/2006/relationships/hyperlink" Target="file:///\\China\mmd_qatc\Evid&#234;ncias\Dom&#237;nio%20E\AGILIDADE%20NO%20JULGAMENTO%20DE%20PROCESSOS%20E%20GERENCIAMENTO%20DE%20%20PRAZOS%20PELOS%20TRIBUNAIS%20DE%20CONTAS\Medidas%20para%20eliminar%20ou%20reduzir%20o%20estoque%20de%20processos%20e%20gerenciar%20os%20prazos" TargetMode="External"/><Relationship Id="rId107" Type="http://schemas.openxmlformats.org/officeDocument/2006/relationships/hyperlink" Target="file:///\\China\mmd_qatc\Evid&#234;ncias\Dom&#237;nio%20H\OUVIDORIA\Estrutura%20da%20Ouvidoria" TargetMode="External"/><Relationship Id="rId268" Type="http://schemas.openxmlformats.org/officeDocument/2006/relationships/hyperlink" Target="file:///\\China\mmd_qatc\Evid&#234;ncias\Dom&#237;nio%20F\PROCESSO%20DE%20AUDITORIA%20DE%20CONFORMIDADE\Avalia&#231;&#227;o%20das%20evid&#234;ncias%20de%20auditoria,%20conclus&#227;o%20e%20relat&#243;rio%20de%20auditoria%20de%20conformidade" TargetMode="External"/><Relationship Id="rId11" Type="http://schemas.openxmlformats.org/officeDocument/2006/relationships/hyperlink" Target="http://www.tce.mg.gov.br/informativo" TargetMode="External"/><Relationship Id="rId32" Type="http://schemas.openxmlformats.org/officeDocument/2006/relationships/hyperlink" Target="file:///\\China\mmd_qatc\Evid&#234;ncias\Dom&#237;nio%20D\GEST&#195;O%20DE%20PESSOAS\Recrutamento,%20lota&#231;&#227;o%20e%20lideran&#231;a\Item%20d" TargetMode="External"/><Relationship Id="rId53" Type="http://schemas.openxmlformats.org/officeDocument/2006/relationships/hyperlink" Target="file:///\\China\mmd_qatc\Evid&#234;ncias\Dom&#237;nio%20A\Quanto%20aos%20Conselheiros%20Substitutos" TargetMode="External"/><Relationship Id="rId74" Type="http://schemas.openxmlformats.org/officeDocument/2006/relationships/hyperlink" Target="file:///\\China\mmd_qatc\Evid&#234;ncias\Dom&#237;nio%20B\Dimens&#227;o%20i%20-%20Estrutura%20da%20unidade%20de%20planejamento%20estrat&#233;gico\d" TargetMode="External"/><Relationship Id="rId128" Type="http://schemas.openxmlformats.org/officeDocument/2006/relationships/hyperlink" Target="file:///\\China\mmd_qatc\Evid&#234;ncias\Dom&#237;nio%20E\CONTROLE%20EXTERNO%20CONCOMITANTE\Controle%20concomitante%20das%20licita&#231;&#245;es,%20contratos,%20conv&#234;nios%20e%20obras\Geo-Obras" TargetMode="External"/><Relationship Id="rId149" Type="http://schemas.openxmlformats.org/officeDocument/2006/relationships/hyperlink" Target="file:///\\China\mmd_qatc\Evid&#234;ncias\Dom&#237;nio%20F\PROCESSO%20DE%20AUDITORIA%20DE%20CONFORMIDADE\Planejamento%20de%20auditorias%20de%20conformidade" TargetMode="External"/><Relationship Id="rId5" Type="http://schemas.openxmlformats.org/officeDocument/2006/relationships/hyperlink" Target="http://www.mpc.mg.gov.br/resolucoes/" TargetMode="External"/><Relationship Id="rId95" Type="http://schemas.openxmlformats.org/officeDocument/2006/relationships/hyperlink" Target="file:///\\China\mmd_qatc\Evid&#234;ncias\Dom&#237;nio%20C\CONTROLE%20INTERNO\Unidade%20de%20Controle%20Interno%20dos%20Tribunais%20de%20Contas" TargetMode="External"/><Relationship Id="rId160" Type="http://schemas.openxmlformats.org/officeDocument/2006/relationships/hyperlink" Target="file:///\\China\mmd_qatc\Evid&#234;ncias\Dom&#237;nio%20F\FUNDAMENTOS%20DA%20AUDITORIA%20OPERACIONAL\Gest&#227;o%20e%20qualifica&#231;&#245;es%20da%20equipe%20de%20auditoria%20operacional" TargetMode="External"/><Relationship Id="rId181" Type="http://schemas.openxmlformats.org/officeDocument/2006/relationships/hyperlink" Target="file:///\\China\mmd_qatc\Evid&#234;ncias\Dom&#237;nio%20C\GEST&#195;O%20DE%20TECNOLOGIA%20DA%20INFORMA&#199;&#195;O\Estrutura%20de%20Tecnologia%20da%20Informa&#231;&#227;o" TargetMode="External"/><Relationship Id="rId216" Type="http://schemas.openxmlformats.org/officeDocument/2006/relationships/hyperlink" Target="https://www.facebook.com/TCEMG/timeline" TargetMode="External"/><Relationship Id="rId237" Type="http://schemas.openxmlformats.org/officeDocument/2006/relationships/hyperlink" Target="file:///\\China\mmd_qatc\Evid&#234;ncias\Dom&#237;nio%20G\AUDITORIAS%20COM%20TEMAS%20ESPEC&#205;FICOS\Auditoria%20de%20meio%20ambiente\Apresenta&#231;&#227;o,%20publica&#231;&#227;o%20e%20dissemina&#231;&#227;o%20dos%20resultados\MANUAL%20DE%20AUDITORIA%20OPERACIONAL%20-%20TCU.pdf" TargetMode="External"/><Relationship Id="rId258" Type="http://schemas.openxmlformats.org/officeDocument/2006/relationships/hyperlink" Target="file:///\\China\mmd_qatc\Evid&#234;ncias\Dom&#237;nio%20E\INFORMA&#199;&#213;ES%20ESTRAT&#201;GICAS%20PARA%20O%20CONTROLE%20EXTERNO\Infraestrutura%20da%20unidade%20de%20informa&#231;&#245;es%20estrat&#233;gicas\Relat&#243;rio%20Atividades%20Cursos%20Palestras%20Visitas%20t&#233;cnicas(SURICATO).doc" TargetMode="External"/><Relationship Id="rId22" Type="http://schemas.openxmlformats.org/officeDocument/2006/relationships/hyperlink" Target="file:///\\China\mmd_qatc\Evid&#234;ncias\Dom&#237;nio%20D\GEST&#195;O%20DE%20PESSOAS\Pol&#237;tica%20de%20sa&#250;de%20e%20qualidade%20de%20vida%20no%20trabalho\Item%20b" TargetMode="External"/><Relationship Id="rId43" Type="http://schemas.openxmlformats.org/officeDocument/2006/relationships/hyperlink" Target="file:///\\China\mmd_qatc\Evid&#234;ncias\Dom&#237;nio%20E\INFORMA&#199;&#213;ES%20ESTRAT&#201;GICAS%20PARA%20O%20CONTROLE%20EXTERNO\Marco%20Legal%20da%20unidade%20de%20informa&#231;&#245;es%20estrat&#233;gicas\DIMENSAO%20(III)\LETRA%20D" TargetMode="External"/><Relationship Id="rId64" Type="http://schemas.openxmlformats.org/officeDocument/2006/relationships/hyperlink" Target="file:///\\China\mmd_qatc\Evid&#234;ncias\Dom&#237;nio%20C\CONTROLE%20INTERNO\Atividades%20de%20controle%20interno%20dos%20Tribunais%20de%20Contas" TargetMode="External"/><Relationship Id="rId118" Type="http://schemas.openxmlformats.org/officeDocument/2006/relationships/hyperlink" Target="file:///\\China\mmd_qatc\Evid&#234;ncias\Dom&#237;nio%20E\AGILIDADE%20NO%20JULGAMENTO%20DE%20PROCESSOS%20E%20GERENCIAMENTO%20DE%20%20PRAZOS%20PELOS%20TRIBUNAIS%20DE%20CONTAS\Medidas%20para%20eliminar%20ou%20reduzir%20o%20estoque%20de%20processos%20e%20gerenciar%20os%20prazos" TargetMode="External"/><Relationship Id="rId139" Type="http://schemas.openxmlformats.org/officeDocument/2006/relationships/hyperlink" Target="file:///\\China\mmd_qatc\Evid&#234;ncias\Dom&#237;nio%20F\FUNDAMENTOS%20DA%20AUDITORIA%20DE%20CONFORMIDADE\Normas%20e%20orienta&#231;&#245;es%20da%20auditoria%20de%20conformidade" TargetMode="External"/><Relationship Id="rId85" Type="http://schemas.openxmlformats.org/officeDocument/2006/relationships/hyperlink" Target="file:///\\China\mmd_qatc\Evid&#234;ncias\Dom&#237;nio%20B\Dimens&#227;o%20iii%20-Processo%20de%20planejamento%20estrat&#233;gico\f" TargetMode="External"/><Relationship Id="rId150" Type="http://schemas.openxmlformats.org/officeDocument/2006/relationships/hyperlink" Target="file:///\\China\mmd_qatc\Evid&#234;ncias\Dom&#237;nio%20F\PROCESSO%20DE%20AUDITORIA%20DE%20CONFORMIDADE\Planejamento%20de%20auditorias%20de%20conformidade" TargetMode="External"/><Relationship Id="rId171" Type="http://schemas.openxmlformats.org/officeDocument/2006/relationships/hyperlink" Target="file:///\\China\mmd_qatc\Evid&#234;ncias\Dom&#237;nio%20G\AUDITORIA%20FINANCEIRA\Processo%20de%20auditoria%20financeira" TargetMode="External"/><Relationship Id="rId192" Type="http://schemas.openxmlformats.org/officeDocument/2006/relationships/hyperlink" Target="file:///\\China\mmd_qatc\Evid&#234;ncias\Dom&#237;nio%20C\CONTROLE%20INTERNO\Atividades%20de%20controle%20interno%20dos%20Tribunais%20de%20Contas" TargetMode="External"/><Relationship Id="rId206" Type="http://schemas.openxmlformats.org/officeDocument/2006/relationships/hyperlink" Target="file:///\\China\mmd_qatc\Evid&#234;ncias\Dom&#237;nio%20C\CONTROLE%20INTERNO\Ambiente%20de%20Controle%20Interno" TargetMode="External"/><Relationship Id="rId227" Type="http://schemas.openxmlformats.org/officeDocument/2006/relationships/hyperlink" Target="file:///\\China\mmd_qatc\Evid&#234;ncias\Dom&#237;nio%20G\AUDITORIAS%20COM%20TEMAS%20ESPEC&#205;FICOS\Auditoria%20de%20Concess&#245;es%20P&#250;blicas" TargetMode="External"/><Relationship Id="rId248" Type="http://schemas.openxmlformats.org/officeDocument/2006/relationships/hyperlink" Target="file:///\\China\mmd_qatc\Evid&#234;ncias\Dom&#237;nio%20E\CONTROLE%20EXTERNO%20CONCOMITANTE\Marco%20legal%20do%20controle%20concomitante" TargetMode="External"/><Relationship Id="rId269" Type="http://schemas.openxmlformats.org/officeDocument/2006/relationships/hyperlink" Target="file:///\\China\mmd_qatc\Evid&#234;ncias\Dom&#237;nio%20F\PROCESSO%20DE%20AUDITORIA%20DE%20CONFORMIDADE\Avalia&#231;&#227;o%20das%20evid&#234;ncias%20de%20auditoria,%20conclus&#227;o%20e%20relat&#243;rio%20de%20auditoria%20de%20conformidade" TargetMode="External"/><Relationship Id="rId12" Type="http://schemas.openxmlformats.org/officeDocument/2006/relationships/hyperlink" Target="http://corregedoria.tce.mg.gov.br/" TargetMode="External"/><Relationship Id="rId33" Type="http://schemas.openxmlformats.org/officeDocument/2006/relationships/hyperlink" Target="file:///\\China\mmd_qatc\Evid&#234;ncias\Dom&#237;nio%20D\GEST&#195;O%20DE%20PESSOAS\Lideran&#231;a,%20avalia&#231;&#227;o%20de%20desempenho%20e%20valoriza&#231;&#227;o%20dos%20servidores\Item%20a" TargetMode="External"/><Relationship Id="rId108" Type="http://schemas.openxmlformats.org/officeDocument/2006/relationships/hyperlink" Target="file:///\\China\mmd_qatc\Evid&#234;ncias\Dom&#237;nio%20H\OUVIDORIA\Estrutura%20da%20Ouvidoria" TargetMode="External"/><Relationship Id="rId129" Type="http://schemas.openxmlformats.org/officeDocument/2006/relationships/hyperlink" Target="file:///\\China\mmd_qatc\Evid&#234;ncias\Dom&#237;nio%20E\INFORMA&#199;&#213;ES%20ESTRAT&#201;GICAS%20PARA%20O%20CONTROLE%20EXTERNO\Marco%20Legal%20da%20unidade%20de%20informa&#231;&#245;es%20estrat&#233;gicas" TargetMode="External"/><Relationship Id="rId54" Type="http://schemas.openxmlformats.org/officeDocument/2006/relationships/hyperlink" Target="file:///\\China\mmd_qatc\Evid&#234;ncias\Dom&#237;nio%20A\Quanto%20aos%20Conselheiros%20Substitutos" TargetMode="External"/><Relationship Id="rId75" Type="http://schemas.openxmlformats.org/officeDocument/2006/relationships/hyperlink" Target="file:///\\China\mmd_qatc\Evid&#234;ncias\Dom&#237;nio%20B\Dimens&#227;o%20ii%20-%20Conte&#250;do%20do%20planejamento%20estrat&#233;gico\a" TargetMode="External"/><Relationship Id="rId96" Type="http://schemas.openxmlformats.org/officeDocument/2006/relationships/hyperlink" Target="file:///\\China\mmd_qatc\Evid&#234;ncias\Dom&#237;nio%20C\CONTROLE%20INTERNO\Unidade%20de%20Controle%20Interno%20dos%20Tribunais%20de%20Contas" TargetMode="External"/><Relationship Id="rId140" Type="http://schemas.openxmlformats.org/officeDocument/2006/relationships/hyperlink" Target="file:///\\China\mmd_qatc\Evid&#234;ncias\Dom&#237;nio%20F\FUNDAMENTOS%20DA%20AUDITORIA%20DE%20CONFORMIDADE\Normas%20e%20orienta&#231;&#245;es%20da%20auditoria%20de%20conformidade" TargetMode="External"/><Relationship Id="rId161" Type="http://schemas.openxmlformats.org/officeDocument/2006/relationships/hyperlink" Target="file:///\\China\mmd_qatc\Evid&#234;ncias\Dom&#237;nio%20F\PROCESSO%20DE%20AUDITORIA%20OPERACIONAL\Planejamento%20de%20auditorias%20operacionais" TargetMode="External"/><Relationship Id="rId182" Type="http://schemas.openxmlformats.org/officeDocument/2006/relationships/hyperlink" Target="file:///\\China\mmd_qatc\Evid&#234;ncias\Dom&#237;nio%20D\ESCOLA%20DE%20CONTAS\Estrutura%20da%20Escola%20de%20Contas" TargetMode="External"/><Relationship Id="rId217" Type="http://schemas.openxmlformats.org/officeDocument/2006/relationships/hyperlink" Target="https://twitter.com/tcemg" TargetMode="External"/><Relationship Id="rId6" Type="http://schemas.openxmlformats.org/officeDocument/2006/relationships/hyperlink" Target="http://www.mpc.mg.gov.br/" TargetMode="External"/><Relationship Id="rId238" Type="http://schemas.openxmlformats.org/officeDocument/2006/relationships/hyperlink" Target="file:///\\China\mmd_qatc\Evid&#234;ncias\Dom&#237;nio%20G\AUDITORIAS%20COM%20TEMAS%20ESPEC&#205;FICOS\Auditoria%20de%20meio%20ambiente\Apresenta&#231;&#227;o,%20publica&#231;&#227;o%20e%20dissemina&#231;&#227;o%20dos%20resultados\MANUAL%20DE%20AUDITORIA%20OPERACIONAL%20-%20TCU.pdf" TargetMode="External"/><Relationship Id="rId259" Type="http://schemas.openxmlformats.org/officeDocument/2006/relationships/hyperlink" Target="file:///\\China\mmd_qatc\Evid&#234;ncias\Dom&#237;nio%20F\PROCESSO%20DE%20AUDITORIA%20DE%20CONFORMIDADE\Planejamento%20de%20auditorias%20de%20conformidade" TargetMode="External"/><Relationship Id="rId23" Type="http://schemas.openxmlformats.org/officeDocument/2006/relationships/hyperlink" Target="../../Evid&#234;ncias/Dom&#237;nio%20D/GEST&#195;O%20DE%20PESSOAS/Pol&#237;tica%20de%20sa&#250;de%20e%20qualidade%20de%20vida%20no%20trabalho/Item%20c" TargetMode="External"/><Relationship Id="rId119" Type="http://schemas.openxmlformats.org/officeDocument/2006/relationships/hyperlink" Target="file:///\\China\mmd_qatc\Evid&#234;ncias\Dom&#237;nio%20E\AGILIDADE%20NO%20JULGAMENTO%20DE%20PROCESSOS%20E%20GERENCIAMENTO%20DE%20%20PRAZOS%20PELOS%20TRIBUNAIS%20DE%20CONTAS\Medidas%20para%20eliminar%20ou%20reduzir%20o%20estoque%20de%20processos%20e%20gerenciar%20os%20prazos" TargetMode="External"/><Relationship Id="rId270" Type="http://schemas.openxmlformats.org/officeDocument/2006/relationships/hyperlink" Target="..\Evid&#234;ncias\Dom&#237;nio%20F\FUNDAMENTOS%20DA%20AUDITORIA%20OPERACIONAL\Normas%20e%20orienta&#231;&#245;es%20da%20auditoria%20de%20operacional" TargetMode="External"/><Relationship Id="rId44" Type="http://schemas.openxmlformats.org/officeDocument/2006/relationships/hyperlink" Target="file:///\\China\mmd_qatc\Evid&#234;ncias\Dom&#237;nio%20E\INFORMA&#199;&#213;ES%20ESTRAT&#201;GICAS%20PARA%20O%20CONTROLE%20EXTERNO\Marco%20Legal%20da%20unidade%20de%20informa&#231;&#245;es%20estrat&#233;gicas\DIMENSAO%20(III)\LETRA%20G" TargetMode="External"/><Relationship Id="rId60" Type="http://schemas.openxmlformats.org/officeDocument/2006/relationships/hyperlink" Target="http://mapjuris.tce.mg.gov.br/" TargetMode="External"/><Relationship Id="rId65" Type="http://schemas.openxmlformats.org/officeDocument/2006/relationships/hyperlink" Target="file:///\\China\mmd_qatc\Evid&#234;ncias\Dom&#237;nio%20C\GEST&#195;O%20DE%20TECNOLOGIA%20DA%20INFORMA&#199;&#195;O\Estrutura%20de%20Tecnologia%20da%20Informa&#231;&#227;o" TargetMode="External"/><Relationship Id="rId81" Type="http://schemas.openxmlformats.org/officeDocument/2006/relationships/hyperlink" Target="file:///\\China\mmd_qatc\Evid&#234;ncias\Dom&#237;nio%20B\Dimens&#227;o%20iii%20-Processo%20de%20planejamento%20estrat&#233;gico\b" TargetMode="External"/><Relationship Id="rId86" Type="http://schemas.openxmlformats.org/officeDocument/2006/relationships/hyperlink" Target="file:///\\China\mmd_qatc\Evid&#234;ncias\Dom&#237;nio%20B\Dimens&#227;o%20iii%20-Processo%20de%20planejamento%20estrat&#233;gico\g" TargetMode="External"/><Relationship Id="rId130" Type="http://schemas.openxmlformats.org/officeDocument/2006/relationships/hyperlink" Target="file:///\\China\mmd_qatc\Evid&#234;ncias\Dom&#237;nio%20E\INFORMA&#199;&#213;ES%20ESTRAT&#201;GICAS%20PARA%20O%20CONTROLE%20EXTERNO\Marco%20Legal%20da%20unidade%20de%20informa&#231;&#245;es%20estrat&#233;gicas" TargetMode="External"/><Relationship Id="rId135" Type="http://schemas.openxmlformats.org/officeDocument/2006/relationships/hyperlink" Target="file:///\\China\mmd_qatc\Evid&#234;ncias\Dom&#237;nio%20E\ACOMPANHAMENTO%20DAS%20DECIS&#213;ES\Processos%20de%20acompanhamento%20da%20aplica&#231;&#227;o%20de%20multas,%20imputa&#231;&#227;o%20de%20d&#233;bitos,%20determina&#231;&#245;es%20e%20recomenda&#231;&#245;es" TargetMode="External"/><Relationship Id="rId151" Type="http://schemas.openxmlformats.org/officeDocument/2006/relationships/hyperlink" Target="file:///\\China\mmd_qatc\Evid&#234;ncias\Dom&#237;nio%20F\PROCESSO%20DE%20AUDITORIA%20DE%20CONFORMIDADE\Planejamento%20de%20auditorias%20de%20conformidade" TargetMode="External"/><Relationship Id="rId156" Type="http://schemas.openxmlformats.org/officeDocument/2006/relationships/hyperlink" Target="file:///\\China\mmd_qatc\Evid&#234;ncias\Dom&#237;nio%20F\FUNDAMENTOS%20DA%20AUDITORIA%20OPERACIONAL\Normas%20e%20orienta&#231;&#245;es%20da%20auditoria%20de%20operacional" TargetMode="External"/><Relationship Id="rId177" Type="http://schemas.openxmlformats.org/officeDocument/2006/relationships/hyperlink" Target="file:///\\China\mmd_qatc\Evid&#234;ncias\Dom&#237;nio%20G\AUDITORIAS%20COM%20TEMAS%20ESPEC&#205;FICOS\Auditoria%20de%20Concess&#245;es%20P&#250;blicas" TargetMode="External"/><Relationship Id="rId198" Type="http://schemas.openxmlformats.org/officeDocument/2006/relationships/hyperlink" Target="https://libano.tce.mg.gov.br/eeventos/encontrotecnico2015" TargetMode="External"/><Relationship Id="rId172" Type="http://schemas.openxmlformats.org/officeDocument/2006/relationships/hyperlink" Target="file:///\\China\mmd_qatc\Evid&#234;ncias\Dom&#237;nio%20G\AUDITORIAS%20COM%20TEMAS%20ESPEC&#205;FICOS\Auditoria%20de%20obras%20p&#250;blicas" TargetMode="External"/><Relationship Id="rId193" Type="http://schemas.openxmlformats.org/officeDocument/2006/relationships/hyperlink" Target="http://tcjuris.tce.mg.gov.br/" TargetMode="External"/><Relationship Id="rId202" Type="http://schemas.openxmlformats.org/officeDocument/2006/relationships/hyperlink" Target="file:///\\China\mmd_qatc\Evid&#234;ncias\Dom&#237;nio%20H\OUVIDORIA\Atividades%20da%20Ouvidoria" TargetMode="External"/><Relationship Id="rId207" Type="http://schemas.openxmlformats.org/officeDocument/2006/relationships/hyperlink" Target="file:///\\China\mmd_qatc\Evid&#234;ncias\Dom&#237;nio%20C\CONTROLE%20INTERNO\Unidade%20de%20Controle%20Interno%20dos%20Tribunais%20de%20Contas" TargetMode="External"/><Relationship Id="rId223" Type="http://schemas.openxmlformats.org/officeDocument/2006/relationships/hyperlink" Target="http://tcnotas.tce.mg.gov.br/TCJuris/Nota/BuscarArquivo/876295" TargetMode="External"/><Relationship Id="rId228" Type="http://schemas.openxmlformats.org/officeDocument/2006/relationships/hyperlink" Target="file:///\\China\mmd_qatc\Evid&#234;ncias\Dom&#237;nio%20G\AUDITORIAS%20COM%20TEMAS%20ESPEC&#205;FICOS\Auditoria%20de%20Concess&#245;es%20P&#250;blicas" TargetMode="External"/><Relationship Id="rId244" Type="http://schemas.openxmlformats.org/officeDocument/2006/relationships/hyperlink" Target="http://www.tce.mg.gov.br/IMG/Auditoria%20Operacional/RELAT%C3%93RIO%20FINAL%20UCPIs.pdf" TargetMode="External"/><Relationship Id="rId249" Type="http://schemas.openxmlformats.org/officeDocument/2006/relationships/hyperlink" Target="file:///\\China\mmd_qatc\Evid&#234;ncias\Dom&#237;nio%20E\CONTROLE%20EXTERNO%20CONCOMITANTE\Marco%20legal%20do%20controle%20concomitante" TargetMode="External"/><Relationship Id="rId13" Type="http://schemas.openxmlformats.org/officeDocument/2006/relationships/hyperlink" Target="http://tclegis.tce.mg.gov.br/Home/Detalhe/1136141" TargetMode="External"/><Relationship Id="rId18" Type="http://schemas.openxmlformats.org/officeDocument/2006/relationships/hyperlink" Target="file:///\\China\mmd_qatc\Evid&#234;ncias\Dom&#237;nio%20D\GEST&#195;O%20DE%20PESSOAS\Plano%20de%20cargos,%20carreiras%20e%20sal&#225;rios\Item%20d" TargetMode="External"/><Relationship Id="rId39" Type="http://schemas.openxmlformats.org/officeDocument/2006/relationships/hyperlink" Target="file:///\\China\mmd_qatc\Evid&#234;ncias\Dom&#237;nio%20D\GEST&#195;O%20DE%20PESSOAS\Lideran&#231;a,%20avalia&#231;&#227;o%20de%20desempenho%20e%20valoriza&#231;&#227;o%20dos%20servidores\Item%20g" TargetMode="External"/><Relationship Id="rId109" Type="http://schemas.openxmlformats.org/officeDocument/2006/relationships/hyperlink" Target="file:///\\China\mmd_qatc\Evid&#234;ncias\Dom&#237;nio%20H\OUVIDORIA\Estrutura%20da%20Ouvidoria" TargetMode="External"/><Relationship Id="rId260" Type="http://schemas.openxmlformats.org/officeDocument/2006/relationships/hyperlink" Target="file:///\\China\mmd_qatc\Evid&#234;ncias\Dom&#237;nio%20F\FUNDAMENTOS%20DA%20AUDITORIA%20OPERACIONAL\Normas%20e%20orienta&#231;&#245;es%20da%20auditoria%20de%20operacional" TargetMode="External"/><Relationship Id="rId265" Type="http://schemas.openxmlformats.org/officeDocument/2006/relationships/hyperlink" Target="file:///\\China\mmd_qatc\Evid&#234;ncias\Dom&#237;nio%20F\PROCESSO%20DE%20AUDITORIA%20DE%20CONFORMIDADE\Execu&#231;&#227;o%20de%20auditoria%20de%20conformidade" TargetMode="External"/><Relationship Id="rId34" Type="http://schemas.openxmlformats.org/officeDocument/2006/relationships/hyperlink" Target="file:///\\China\mmd_qatc\Evid&#234;ncias\Dom&#237;nio%20D\GEST&#195;O%20DE%20PESSOAS\Lideran&#231;a,%20avalia&#231;&#227;o%20de%20desempenho%20e%20valoriza&#231;&#227;o%20dos%20servidores\Item%20b" TargetMode="External"/><Relationship Id="rId50" Type="http://schemas.openxmlformats.org/officeDocument/2006/relationships/hyperlink" Target="file:///\\China\mmd_qatc\Evid&#234;ncias\Dom&#237;nio%20A\Quanto%20aos%20Conselheiros%20Substitutos" TargetMode="External"/><Relationship Id="rId55" Type="http://schemas.openxmlformats.org/officeDocument/2006/relationships/hyperlink" Target="file:///\\China\mmd_qatc\Evid&#234;ncias\Dom&#237;nio%20C\S&#218;MULA%20E%20JURISPRUD&#202;NCIA\Diretrizes%20gerais" TargetMode="External"/><Relationship Id="rId76" Type="http://schemas.openxmlformats.org/officeDocument/2006/relationships/hyperlink" Target="file:///\\China\mmd_qatc\Evid&#234;ncias\Dom&#237;nio%20B\Dimens&#227;o%20ii%20-%20Conte&#250;do%20do%20planejamento%20estrat&#233;gico\b" TargetMode="External"/><Relationship Id="rId97" Type="http://schemas.openxmlformats.org/officeDocument/2006/relationships/hyperlink" Target="file:///\\China\mmd_qatc\Evid&#234;ncias\Dom&#237;nio%20C\S&#218;MULA%20E%20JURISPRUD&#202;NCIA\S&#250;mulas" TargetMode="External"/><Relationship Id="rId104" Type="http://schemas.openxmlformats.org/officeDocument/2006/relationships/hyperlink" Target="file:///\\China\mmd_qatc\Evid&#234;ncias\Dom&#237;nio%20C\CONTROLE%20INTERNO\Ambiente%20de%20Controle%20Interno\politicadecontroleinterno.pdf" TargetMode="External"/><Relationship Id="rId120" Type="http://schemas.openxmlformats.org/officeDocument/2006/relationships/hyperlink" Target="file:///\\China\mmd_qatc\Evid&#234;ncias\Dom&#237;nio%20E\CONTROLE%20EXTERNO%20CONCOMITANTE\Marco%20legal%20do%20controle%20concomitante\Geo-Obras" TargetMode="External"/><Relationship Id="rId125" Type="http://schemas.openxmlformats.org/officeDocument/2006/relationships/hyperlink" Target="file:///\\China\mmd_qatc\Evid&#234;ncias\Dom&#237;nio%20E\CONTROLE%20EXTERNO%20CONCOMITANTE\Planejamento%20e%20execu&#231;&#227;o%20do%20controle%20concomitante" TargetMode="External"/><Relationship Id="rId141" Type="http://schemas.openxmlformats.org/officeDocument/2006/relationships/hyperlink" Target="file:///\\China\mmd_qatc\Evid&#234;ncias\Dom&#237;nio%20F\FUNDAMENTOS%20DA%20AUDITORIA%20DE%20CONFORMIDADE\Normas%20e%20orienta&#231;&#245;es%20da%20auditoria%20de%20conformidade" TargetMode="External"/><Relationship Id="rId146" Type="http://schemas.openxmlformats.org/officeDocument/2006/relationships/hyperlink" Target="file:///\\China\mmd_qatc\Evid&#234;ncias\Dom&#237;nio%20F\FUNDAMENTOS%20DA%20AUDITORIA%20DE%20CONFORMIDADE\&#201;tica%20e%20independ&#234;ncia%20na%20auditoria%20de%20conformidade" TargetMode="External"/><Relationship Id="rId167" Type="http://schemas.openxmlformats.org/officeDocument/2006/relationships/hyperlink" Target="file:///\\China\mmd_qatc\Evid&#234;ncias\Dom&#237;nio%20G\RESULTADOS%20DAS%20AUDITORIAS%20DE%20CONFORMIDADE\Abrang&#234;ncia%20das%20auditorias" TargetMode="External"/><Relationship Id="rId188" Type="http://schemas.openxmlformats.org/officeDocument/2006/relationships/hyperlink" Target="file:///\\China\mmd_qatc\Evid&#234;ncias\Dom&#237;nio%20E\DESENVOLVIMENTO%20LOCAL\Implementa&#231;&#227;o%20da%20norma" TargetMode="External"/><Relationship Id="rId7" Type="http://schemas.openxmlformats.org/officeDocument/2006/relationships/hyperlink" Target="http://tclegis.tce.mg.gov.br/Home/Detalhe/1135822" TargetMode="External"/><Relationship Id="rId71" Type="http://schemas.openxmlformats.org/officeDocument/2006/relationships/hyperlink" Target="file:///\\China\mmd_qatc\Evid&#234;ncias\Dom&#237;nio%20B\Dimens&#227;o%20i%20-%20Estrutura%20da%20unidade%20de%20planejamento%20estrat&#233;gico\a" TargetMode="External"/><Relationship Id="rId92" Type="http://schemas.openxmlformats.org/officeDocument/2006/relationships/hyperlink" Target="file:///\\China\mmd_qatc\Evid&#234;ncias\Dom&#237;nio%20C\CONTROLE%20INTERNO\Unidade%20de%20Controle%20Interno%20dos%20Tribunais%20de%20Contas\a" TargetMode="External"/><Relationship Id="rId162" Type="http://schemas.openxmlformats.org/officeDocument/2006/relationships/hyperlink" Target="file:///\\China\mmd_qatc\Evid&#234;ncias\Dom&#237;nio%20F\PROCESSO%20DE%20AUDITORIA%20OPERACIONAL\Implementa&#231;&#227;o%20de%20auditorias%20operacionais" TargetMode="External"/><Relationship Id="rId183" Type="http://schemas.openxmlformats.org/officeDocument/2006/relationships/hyperlink" Target="http://corregedoria.tce.mg.gov.br/index.php/relatorios/relatorios-trimestrais" TargetMode="External"/><Relationship Id="rId213" Type="http://schemas.openxmlformats.org/officeDocument/2006/relationships/hyperlink" Target="http://www.tce.mg.gov.br/index.asp?cod_secao=1L&amp;tipo=2&amp;url=Contatos_Geral.asp&amp;cod_secao_menu=3" TargetMode="External"/><Relationship Id="rId218" Type="http://schemas.openxmlformats.org/officeDocument/2006/relationships/hyperlink" Target="http://portalgeoobras.tce.mg.gov.br/" TargetMode="External"/><Relationship Id="rId234" Type="http://schemas.openxmlformats.org/officeDocument/2006/relationships/hyperlink" Target="file:///\\China\mmd_qatc\Evid&#234;ncias\Dom&#237;nio%20G\AUDITORIA%20FINANCEIRA\Resultados%20de%20auditoria%20financeira" TargetMode="External"/><Relationship Id="rId239" Type="http://schemas.openxmlformats.org/officeDocument/2006/relationships/hyperlink" Target="file:///\\China\mmd_qatc\Evid&#234;ncias\Dom&#237;nio%20G\AUDITORIAS%20COM%20TEMAS%20ESPEC&#205;FICOS\Auditoria%20de%20meio%20ambiente\Apresenta&#231;&#227;o,%20publica&#231;&#227;o%20e%20dissemina&#231;&#227;o%20dos%20resultados\MANUAL%20DE%20AUDITORIA%20OPERACIONAL%20-%20TCU.pdf" TargetMode="External"/><Relationship Id="rId2" Type="http://schemas.openxmlformats.org/officeDocument/2006/relationships/hyperlink" Target="file:///\\China\mmd_qatc\Evid&#234;ncias\Dom&#237;nio%20A\Quanto%20aos%20Ministros%20e%20Conselheiros\Item%20b" TargetMode="External"/><Relationship Id="rId29" Type="http://schemas.openxmlformats.org/officeDocument/2006/relationships/hyperlink" Target="file:///\\China\mmd_qatc\Evid&#234;ncias\Dom&#237;nio%20D\GEST&#195;O%20DE%20PESSOAS\Recrutamento,%20lota&#231;&#227;o%20e%20lideran&#231;a\Item%20c" TargetMode="External"/><Relationship Id="rId250" Type="http://schemas.openxmlformats.org/officeDocument/2006/relationships/hyperlink" Target="http://sicomconsulta.tce.mg.gov.br/" TargetMode="External"/><Relationship Id="rId255" Type="http://schemas.openxmlformats.org/officeDocument/2006/relationships/hyperlink" Target="file:///\\China\mmd_qatc\Evid&#234;ncias\Dom&#237;nio%20E\CONTROLE%20EXTERNO%20CONCOMITANTE\Planejamento%20e%20execu&#231;&#227;o%20do%20controle%20concomitante" TargetMode="External"/><Relationship Id="rId271" Type="http://schemas.openxmlformats.org/officeDocument/2006/relationships/hyperlink" Target="..\Evid&#234;ncias\Dom&#237;nio%20D\GEST&#195;O%20DE%20PESSOAS\Pol&#237;tica%20de%20sa&#250;de%20e%20qualidade%20de%20vida%20no%20trabalho\Item%20d" TargetMode="External"/><Relationship Id="rId24" Type="http://schemas.openxmlformats.org/officeDocument/2006/relationships/hyperlink" Target="file:///\\China\mmd_qatc\Evid&#234;ncias\Dom&#237;nio%20D\GEST&#195;O%20DE%20PESSOAS\Pol&#237;tica%20de%20sa&#250;de%20e%20qualidade%20de%20vida%20no%20trabalho\Item%20e" TargetMode="External"/><Relationship Id="rId40" Type="http://schemas.openxmlformats.org/officeDocument/2006/relationships/hyperlink" Target="https://doc.tce.mg.gov.br/" TargetMode="External"/><Relationship Id="rId45" Type="http://schemas.openxmlformats.org/officeDocument/2006/relationships/hyperlink" Target="file:///\\China\mmd_qatc\Evid&#234;ncias\Dom&#237;nio%20E\INFORMA&#199;&#213;ES%20ESTRAT&#201;GICAS%20PARA%20O%20CONTROLE%20EXTERNO\Marco%20Legal%20da%20unidade%20de%20informa&#231;&#245;es%20estrat&#233;gicas\DIMENSAO%20(IV)\LETRA%20B" TargetMode="External"/><Relationship Id="rId66" Type="http://schemas.openxmlformats.org/officeDocument/2006/relationships/hyperlink" Target="file:///\\China\mmd_qatc\Evid&#234;ncias\Dom&#237;nio%20C\GEST&#195;O%20DE%20TECNOLOGIA%20DA%20INFORMA&#199;&#195;O\Estrutura%20de%20Tecnologia%20da%20Informa&#231;&#227;o" TargetMode="External"/><Relationship Id="rId87" Type="http://schemas.openxmlformats.org/officeDocument/2006/relationships/hyperlink" Target="file:///\\China\mmd_qatc\Evid&#234;ncias\Dom&#237;nio%20B\Dimens&#227;o%20iv%20-%20Processo%20de%20planejamento%20anual\a" TargetMode="External"/><Relationship Id="rId110" Type="http://schemas.openxmlformats.org/officeDocument/2006/relationships/hyperlink" Target="file:///\\China\mmd_qatc\Evid&#234;ncias\Dom&#237;nio%20H\OUVIDORIA\Estrutura%20da%20Ouvidoria" TargetMode="External"/><Relationship Id="rId115" Type="http://schemas.openxmlformats.org/officeDocument/2006/relationships/hyperlink" Target="file:///\\China\mmd_qatc\Evid&#234;ncias\Dom&#237;nio%20E\AGILIDADE%20NO%20JULGAMENTO%20DE%20PROCESSOS%20E%20GERENCIAMENTO%20DE%20%20PRAZOS%20PELOS%20TRIBUNAIS%20DE%20CONTAS\Medidas%20para%20assegurar%20maior%20celeridade%20&#224;%20tramita&#231;&#227;o%20de%20processos%20(ap&#243;s%20a%20autua&#231;&#227;o)" TargetMode="External"/><Relationship Id="rId131" Type="http://schemas.openxmlformats.org/officeDocument/2006/relationships/hyperlink" Target="file:///\\China\mmd_qatc\Evid&#234;ncias\Dom&#237;nio%20E\ACOMPANHAMENTO%20DAS%20DECIS&#213;ES\Estrutura%20de%20acompanhamento%20das%20decis&#245;es" TargetMode="External"/><Relationship Id="rId136" Type="http://schemas.openxmlformats.org/officeDocument/2006/relationships/hyperlink" Target="file:///\\China\mmd_qatc\Evid&#234;ncias\Dom&#237;nio%20F\PLANEJAMENTO%20GERAL%20DA%20AUDITORIA%20E%20GEST&#195;O%20DA%20QUALIDADE\Plano%20de%20Auditoria" TargetMode="External"/><Relationship Id="rId157" Type="http://schemas.openxmlformats.org/officeDocument/2006/relationships/hyperlink" Target="file:///\\China\mmd_qatc\Evid&#234;ncias\Dom&#237;nio%20F\FUNDAMENTOS%20DA%20AUDITORIA%20OPERACIONAL\Normas%20e%20orienta&#231;&#245;es%20da%20auditoria%20de%20operacional" TargetMode="External"/><Relationship Id="rId178" Type="http://schemas.openxmlformats.org/officeDocument/2006/relationships/hyperlink" Target="file:///\\China\mmd_qatc\Evid&#234;ncias\Dom&#237;nio%20G\AUDITORIAS%20COM%20TEMAS%20ESPEC&#205;FICOS\Auditoria%20de%20Concess&#245;es%20P&#250;blicas" TargetMode="External"/><Relationship Id="rId61" Type="http://schemas.openxmlformats.org/officeDocument/2006/relationships/hyperlink" Target="http://mapjuris.tce.mg.gov.br/" TargetMode="External"/><Relationship Id="rId82" Type="http://schemas.openxmlformats.org/officeDocument/2006/relationships/hyperlink" Target="file:///\\China\mmd_qatc\Evid&#234;ncias\Dom&#237;nio%20B\Dimens&#227;o%20iii%20-Processo%20de%20planejamento%20estrat&#233;gico\c" TargetMode="External"/><Relationship Id="rId152" Type="http://schemas.openxmlformats.org/officeDocument/2006/relationships/hyperlink" Target="file:///\\China\mmd_qatc\Evid&#234;ncias\Dom&#237;nio%20F\PROCESSO%20DE%20AUDITORIA%20DE%20CONFORMIDADE\Execu&#231;&#227;o%20de%20auditoria%20de%20conformidade" TargetMode="External"/><Relationship Id="rId173" Type="http://schemas.openxmlformats.org/officeDocument/2006/relationships/hyperlink" Target="file:///\\China\mmd_qatc\Evid&#234;ncias\Dom&#237;nio%20G\AUDITORIAS%20COM%20TEMAS%20ESPEC&#205;FICOS\Auditoria%20de%20obras%20p&#250;blicas" TargetMode="External"/><Relationship Id="rId194" Type="http://schemas.openxmlformats.org/officeDocument/2006/relationships/hyperlink" Target="http://www.tce.mg.gov.br/informativo" TargetMode="External"/><Relationship Id="rId199" Type="http://schemas.openxmlformats.org/officeDocument/2006/relationships/hyperlink" Target="file:///\\China\mmd_qatc\Evid&#234;ncias\Dom&#237;nio%20H\COMUNICA&#199;&#195;O%20COM%20A%20M&#205;DIA,%20COM%20OS%20CIDAD&#195;OS%20E%20COM%20AS%20ORGANIZA&#199;&#213;ES%20DA%20DA%20SOCIEDADE%20CIVIL\Estrutura&#231;&#227;o%20da%20&#193;rea%20de%20comunica&#231;&#227;o%20social%20e%20Pol&#237;tica%20de%20Comunica&#231;&#227;o" TargetMode="External"/><Relationship Id="rId203" Type="http://schemas.openxmlformats.org/officeDocument/2006/relationships/hyperlink" Target="file:///\\China\mmd_qatc\Evid&#234;ncias\Dom&#237;nio%20H\OUVIDORIA\Atividades%20da%20Ouvidoria" TargetMode="External"/><Relationship Id="rId208" Type="http://schemas.openxmlformats.org/officeDocument/2006/relationships/hyperlink" Target="file:///\\China\mmd_qatc\Evid&#234;ncias\Dom&#237;nio%20C\CONTROLE%20INTERNO\Atividades%20de%20controle%20interno%20dos%20Tribunais%20de%20Contas" TargetMode="External"/><Relationship Id="rId229" Type="http://schemas.openxmlformats.org/officeDocument/2006/relationships/hyperlink" Target="file:///\\China\mmd_qatc\Evid&#234;ncias\Dom&#237;nio%20G\AUDITORIAS%20COM%20TEMAS%20ESPEC&#205;FICOS\Auditoria%20de%20Concess&#245;es%20P&#250;blicas\MANUAL%20DE%20AUDITORIA%20OPERACIONAL%20-%20TCU.pdf" TargetMode="External"/><Relationship Id="rId19" Type="http://schemas.openxmlformats.org/officeDocument/2006/relationships/hyperlink" Target="file:///\\China\mmd_qatc\Evid&#234;ncias\Dom&#237;nio%20D\GEST&#195;O%20DE%20PESSOAS\Plano%20de%20cargos,%20carreiras%20e%20sal&#225;rios\Item%20e" TargetMode="External"/><Relationship Id="rId224" Type="http://schemas.openxmlformats.org/officeDocument/2006/relationships/hyperlink" Target="http://www.tce.mg.gov.br/index.asp?cod_secao=6N&amp;tipo=2&amp;url=push/login.asp&amp;cod_secao_menu=5K" TargetMode="External"/><Relationship Id="rId240" Type="http://schemas.openxmlformats.org/officeDocument/2006/relationships/hyperlink" Target="file:///\\China\mmd_qatc\Evid&#234;ncias\Dom&#237;nio%20G\AUDITORIAS%20COM%20TEMAS%20ESPEC&#205;FICOS\Auditoria%20de%20meio%20ambiente\Apresenta&#231;&#227;o,%20publica&#231;&#227;o%20e%20dissemina&#231;&#227;o%20dos%20resultados" TargetMode="External"/><Relationship Id="rId245" Type="http://schemas.openxmlformats.org/officeDocument/2006/relationships/hyperlink" Target="http://tclegis.tce.mg.gov.br/Home/Detalhe/1136189" TargetMode="External"/><Relationship Id="rId261" Type="http://schemas.openxmlformats.org/officeDocument/2006/relationships/hyperlink" Target="..\Evid&#234;ncias\Dom&#237;nio%20E\INFORMA&#199;&#213;ES%20ESTRAT&#201;GICAS%20PARA%20O%20CONTROLE%20EXTERNO\Compet&#234;ncias%20da%20unidade%20de%20informa&#231;&#245;es%20estrat&#233;gicas" TargetMode="External"/><Relationship Id="rId266" Type="http://schemas.openxmlformats.org/officeDocument/2006/relationships/hyperlink" Target="file:///\\China\mmd_qatc\Evid&#234;ncias\Dom&#237;nio%20F\FUNDAMENTOS%20DA%20AUDITORIA%20OPERACIONAL\Gest&#227;o%20e%20qualifica&#231;&#245;es%20da%20equipe%20de%20auditoria%20operacional" TargetMode="External"/><Relationship Id="rId14" Type="http://schemas.openxmlformats.org/officeDocument/2006/relationships/hyperlink" Target="http://corregedoria.tce.mg.gov.br/index.php/orientacoes" TargetMode="External"/><Relationship Id="rId30" Type="http://schemas.openxmlformats.org/officeDocument/2006/relationships/hyperlink" Target="file:///\\China\mmd_qatc\Evid&#234;ncias\Dom&#237;nio%20D\GEST&#195;O%20DE%20PESSOAS\Recrutamento,%20lota&#231;&#227;o%20e%20lideran&#231;a\Item%20e" TargetMode="External"/><Relationship Id="rId35" Type="http://schemas.openxmlformats.org/officeDocument/2006/relationships/hyperlink" Target="file:///\\China\mmd_qatc\Evid&#234;ncias\Dom&#237;nio%20D\GEST&#195;O%20DE%20PESSOAS\Lideran&#231;a,%20avalia&#231;&#227;o%20de%20desempenho%20e%20valoriza&#231;&#227;o%20dos%20servidores\Item%20c" TargetMode="External"/><Relationship Id="rId56" Type="http://schemas.openxmlformats.org/officeDocument/2006/relationships/hyperlink" Target="file:///\\China\mmd_qatc\Evid&#234;ncias\Dom&#237;nio%20C\S&#218;MULA%20E%20JURISPRUD&#202;NCIA\Diretrizes%20gerais" TargetMode="External"/><Relationship Id="rId77" Type="http://schemas.openxmlformats.org/officeDocument/2006/relationships/hyperlink" Target="file:///\\China\mmd_qatc\Evid&#234;ncias\Dom&#237;nio%20B\Dimens&#227;o%20ii%20-%20Conte&#250;do%20do%20planejamento%20estrat&#233;gico\c" TargetMode="External"/><Relationship Id="rId100" Type="http://schemas.openxmlformats.org/officeDocument/2006/relationships/hyperlink" Target="file:///\\China\mmd_qatc\Evid&#234;ncias\Dom&#237;nio%20C\CONTROLE%20INTERNO\Atividades%20de%20controle%20interno%20dos%20Tribunais%20de%20Contas" TargetMode="External"/><Relationship Id="rId105" Type="http://schemas.openxmlformats.org/officeDocument/2006/relationships/hyperlink" Target="file:///\\China\mmd_qatc\Evid&#234;ncias\Dom&#237;nio%20D\ESCOLA%20DE%20CONTAS\Planos%20de%20Capacita&#231;&#227;o\Programa%20de%20Extens&#227;o%20-%20Apresenta&#231;&#227;o.docx" TargetMode="External"/><Relationship Id="rId126" Type="http://schemas.openxmlformats.org/officeDocument/2006/relationships/hyperlink" Target="file:///\\China\mmd_qatc\Evid&#234;ncias\Dom&#237;nio%20E\CONTROLE%20EXTERNO%20CONCOMITANTE\Planejamento%20e%20execu&#231;&#227;o%20do%20controle%20concomitante" TargetMode="External"/><Relationship Id="rId147" Type="http://schemas.openxmlformats.org/officeDocument/2006/relationships/hyperlink" Target="file:///\\China\mmd_qatc\Evid&#234;ncias\Dom&#237;nio%20F\FUNDAMENTOS%20DA%20AUDITORIA%20DE%20CONFORMIDADE\&#201;tica%20e%20independ&#234;ncia%20na%20auditoria%20de%20conformidade" TargetMode="External"/><Relationship Id="rId168" Type="http://schemas.openxmlformats.org/officeDocument/2006/relationships/hyperlink" Target="file:///\\China\mmd_qatc\Evid&#234;ncias\Dom&#237;nio%20G\RESULTADOS%20DAS%20AUDITORIAS%20DE%20CONFORMIDADE\Apresenta&#231;&#227;o%20dos%20resultados" TargetMode="External"/><Relationship Id="rId8" Type="http://schemas.openxmlformats.org/officeDocument/2006/relationships/hyperlink" Target="https://intranet.tce.mg.gov.br/?p=114880" TargetMode="External"/><Relationship Id="rId51" Type="http://schemas.openxmlformats.org/officeDocument/2006/relationships/hyperlink" Target="file:///\\China\mmd_qatc\Evid&#234;ncias\Dom&#237;nio%20A\Quanto%20aos%20Conselheiros%20Substitutos" TargetMode="External"/><Relationship Id="rId72" Type="http://schemas.openxmlformats.org/officeDocument/2006/relationships/hyperlink" Target="file:///\\China\mmd_qatc\Evid&#234;ncias\Dom&#237;nio%20B\Dimens&#227;o%20i%20-%20Estrutura%20da%20unidade%20de%20planejamento%20estrat&#233;gico\b" TargetMode="External"/><Relationship Id="rId93" Type="http://schemas.openxmlformats.org/officeDocument/2006/relationships/hyperlink" Target="file:///\\China\mmd_qatc\Evid&#234;ncias\Dom&#237;nio%20C\CONTROLE%20INTERNO\Unidade%20de%20Controle%20Interno%20dos%20Tribunais%20de%20Contas" TargetMode="External"/><Relationship Id="rId98" Type="http://schemas.openxmlformats.org/officeDocument/2006/relationships/hyperlink" Target="http://tcjuris.tce.mg.gov.br/" TargetMode="External"/><Relationship Id="rId121" Type="http://schemas.openxmlformats.org/officeDocument/2006/relationships/hyperlink" Target="file:///\\China\mmd_qatc\Evid&#234;ncias\Dom&#237;nio%20E\CONTROLE%20EXTERNO%20CONCOMITANTE\Termos%20de%20Ajuste%20de%20Gest&#227;o%20e%20Medidas%20Cautelares" TargetMode="External"/><Relationship Id="rId142" Type="http://schemas.openxmlformats.org/officeDocument/2006/relationships/hyperlink" Target="file:///\\China\mmd_qatc\Evid&#234;ncias\Dom&#237;nio%20F\FUNDAMENTOS%20DA%20AUDITORIA%20DE%20CONFORMIDADE\Normas%20e%20orienta&#231;&#245;es%20da%20auditoria%20de%20conformidade" TargetMode="External"/><Relationship Id="rId163" Type="http://schemas.openxmlformats.org/officeDocument/2006/relationships/hyperlink" Target="file:///\\China\mmd_qatc\Evid&#234;ncias\Dom&#237;nio%20F\PROCESSO%20DE%20AUDITORIA%20OPERACIONAL\Implementa&#231;&#227;o%20de%20auditorias%20operacionais" TargetMode="External"/><Relationship Id="rId184" Type="http://schemas.openxmlformats.org/officeDocument/2006/relationships/hyperlink" Target="http://corregedoria.tce.mg.gov.br/index.php/relatorios/relatorios-trimestrais" TargetMode="External"/><Relationship Id="rId189" Type="http://schemas.openxmlformats.org/officeDocument/2006/relationships/hyperlink" Target="file:///\\China\mmd_qatc\Evid&#234;ncias\Dom&#237;nio%20E\DESENVOLVIMENTO%20LOCAL\Implementa&#231;&#227;o%20da%20norma" TargetMode="External"/><Relationship Id="rId219" Type="http://schemas.openxmlformats.org/officeDocument/2006/relationships/hyperlink" Target="http://www.tce.mg.gov.br/index.asp?cod_secao=1L&amp;tipo=2&amp;url=Contatos_Geral.asp&amp;cod_secao_menu=3" TargetMode="External"/><Relationship Id="rId3" Type="http://schemas.openxmlformats.org/officeDocument/2006/relationships/hyperlink" Target="file:///\\China\mmd_qatc\Evid&#234;ncias\Dom&#237;nio%20A\Quanto%20aos%20Ministros%20e%20Conselheiros\Item%20c" TargetMode="External"/><Relationship Id="rId214" Type="http://schemas.openxmlformats.org/officeDocument/2006/relationships/hyperlink" Target="https://libano.tce.mg.gov.br/eeventos/pontoexpressao" TargetMode="External"/><Relationship Id="rId230" Type="http://schemas.openxmlformats.org/officeDocument/2006/relationships/hyperlink" Target="file:///\\China\mmd_qatc\Evid&#234;ncias\Dom&#237;nio%20G\AUDITORIAS%20COM%20TEMAS%20ESPEC&#205;FICOS\Auditoria%20de%20Concess&#245;es%20P&#250;blicas" TargetMode="External"/><Relationship Id="rId235" Type="http://schemas.openxmlformats.org/officeDocument/2006/relationships/hyperlink" Target="file:///\\China\mmd_qatc\Evid&#234;ncias\Dom&#237;nio%20F\PROCESSO%20DE%20AUDITORIA%20OPERACIONAL\Planejamento%20de%20auditorias%20operacionais" TargetMode="External"/><Relationship Id="rId251" Type="http://schemas.openxmlformats.org/officeDocument/2006/relationships/hyperlink" Target="http://sicomconsulta.tce.mg.gov.br/" TargetMode="External"/><Relationship Id="rId256" Type="http://schemas.openxmlformats.org/officeDocument/2006/relationships/hyperlink" Target="file:///\\China\mmd_qatc\Evid&#234;ncias\Dom&#237;nio%20E\INFORMA&#199;&#213;ES%20ESTRAT&#201;GICAS%20PARA%20O%20CONTROLE%20EXTERNO\Compet&#234;ncias%20da%20unidade%20de%20informa&#231;&#245;es%20estrat&#233;gicas" TargetMode="External"/><Relationship Id="rId25" Type="http://schemas.openxmlformats.org/officeDocument/2006/relationships/hyperlink" Target="file:///\\China\mmd_qatc\Evid&#234;ncias\Dom&#237;nio%20D\GEST&#195;O%20DE%20PESSOAS\Pol&#237;tica%20de%20sa&#250;de%20e%20qualidade%20de%20vida%20no%20trabalho\Item%20f" TargetMode="External"/><Relationship Id="rId46" Type="http://schemas.openxmlformats.org/officeDocument/2006/relationships/hyperlink" Target="file:///\\China\mmd_qatc\Evid&#234;ncias\Dom&#237;nio%20E\ACORDOS%20DE%20COOPERA&#199;&#195;O%20T&#201;CNICA%20COM%20OUTROS%20ORG&#195;OS\Acordo%20de%20coopera&#231;&#227;o%20t&#233;cnica%20com%20outros%20&#243;rg&#227;os%20de%20controle" TargetMode="External"/><Relationship Id="rId67" Type="http://schemas.openxmlformats.org/officeDocument/2006/relationships/hyperlink" Target="http://www.tce.mg.gov.br/" TargetMode="External"/><Relationship Id="rId116" Type="http://schemas.openxmlformats.org/officeDocument/2006/relationships/hyperlink" Target="file:///\\China\mmd_qatc\Evid&#234;ncias\Dom&#237;nio%20E\AGILIDADE%20NO%20JULGAMENTO%20DE%20PROCESSOS%20E%20GERENCIAMENTO%20DE%20%20PRAZOS%20PELOS%20TRIBUNAIS%20DE%20CONTAS\Medidas%20para%20eliminar%20ou%20reduzir%20o%20estoque%20de%20processos%20e%20gerenciar%20os%20prazos" TargetMode="External"/><Relationship Id="rId137" Type="http://schemas.openxmlformats.org/officeDocument/2006/relationships/hyperlink" Target="file:///\\China\mmd_qatc\Evid&#234;ncias\Dom&#237;nio%20F\PLANEJAMENTO%20GERAL%20DA%20AUDITORIA%20E%20GEST&#195;O%20DA%20QUALIDADE\Plano%20de%20Auditoria" TargetMode="External"/><Relationship Id="rId158" Type="http://schemas.openxmlformats.org/officeDocument/2006/relationships/hyperlink" Target="file:///\\China\mmd_qatc\Evid&#234;ncias\Dom&#237;nio%20F\FUNDAMENTOS%20DA%20AUDITORIA%20OPERACIONAL\&#201;tica%20e%20independ&#234;ncia%20na%20auditoria%20operacional" TargetMode="External"/><Relationship Id="rId272" Type="http://schemas.openxmlformats.org/officeDocument/2006/relationships/hyperlink" Target="http://www.tce.mg.gov.br/index.asp?cod_secao=1INX&amp;tipo=1&amp;url=&amp;cod_secao_menu=5K" TargetMode="External"/><Relationship Id="rId20" Type="http://schemas.openxmlformats.org/officeDocument/2006/relationships/hyperlink" Target="file:///\\China\mmd_qatc\Evid&#234;ncias\Dom&#237;nio%20D\GEST&#195;O%20DE%20PESSOAS\Plano%20de%20cargos,%20carreiras%20e%20sal&#225;rios\Item%20f" TargetMode="External"/><Relationship Id="rId41" Type="http://schemas.openxmlformats.org/officeDocument/2006/relationships/hyperlink" Target="http://ouvidoria.tce.mg.gov.br/" TargetMode="External"/><Relationship Id="rId62" Type="http://schemas.openxmlformats.org/officeDocument/2006/relationships/hyperlink" Target="file:///\\China\mmd_qatc\Evid&#234;ncias\Dom&#237;nio%20C\CONTROLE%20INTERNO\Ambiente%20de%20Controle%20Interno" TargetMode="External"/><Relationship Id="rId83" Type="http://schemas.openxmlformats.org/officeDocument/2006/relationships/hyperlink" Target="file:///\\China\mmd_qatc\Evid&#234;ncias\Dom&#237;nio%20B\Dimens&#227;o%20iii%20-Processo%20de%20planejamento%20estrat&#233;gico\d" TargetMode="External"/><Relationship Id="rId88" Type="http://schemas.openxmlformats.org/officeDocument/2006/relationships/hyperlink" Target="file:///\\China\mmd_qatc\Evid&#234;ncias\Dom&#237;nio%20B\Dimens&#227;o%20iv%20-%20Processo%20de%20planejamento%20anual\b" TargetMode="External"/><Relationship Id="rId111" Type="http://schemas.openxmlformats.org/officeDocument/2006/relationships/hyperlink" Target="file:///\\China\mmd_qatc\Evid&#234;ncias\Dom&#237;nio%20H\OUVIDORIA\Estrutura%20da%20Ouvidoria" TargetMode="External"/><Relationship Id="rId132" Type="http://schemas.openxmlformats.org/officeDocument/2006/relationships/hyperlink" Target="file:///\\China\mmd_qatc\Evid&#234;ncias\Dom&#237;nio%20E\ACOMPANHAMENTO%20DAS%20DECIS&#213;ES\Estrutura%20de%20acompanhamento%20das%20decis&#245;es" TargetMode="External"/><Relationship Id="rId153" Type="http://schemas.openxmlformats.org/officeDocument/2006/relationships/hyperlink" Target="file:///\\China\mmd_qatc\Evid&#234;ncias\Dom&#237;nio%20F\PROCESSO%20DE%20AUDITORIA%20DE%20CONFORMIDADE\Avalia&#231;&#227;o%20das%20evid&#234;ncias%20de%20auditoria,%20conclus&#227;o%20e%20relat&#243;rio%20de%20auditoria%20de%20conformidade" TargetMode="External"/><Relationship Id="rId174" Type="http://schemas.openxmlformats.org/officeDocument/2006/relationships/hyperlink" Target="file:///\\China\mmd_qatc\Evid&#234;ncias\Dom&#237;nio%20G\AUDITORIAS%20COM%20TEMAS%20ESPEC&#205;FICOS\Auditoria%20de%20obras%20p&#250;blicas" TargetMode="External"/><Relationship Id="rId179" Type="http://schemas.openxmlformats.org/officeDocument/2006/relationships/hyperlink" Target="file:///\\China\mmd_qatc\Evid&#234;ncias\Dom&#237;nio%20H\COMUNICA&#199;&#195;O%20COM%20A%20M&#205;DIA,%20COM%20OS%20CIDAD&#195;OS%20E%20COM%20AS%20ORGANIZA&#199;&#213;ES%20DA%20DA%20SOCIEDADE%20CIVIL\Comunica&#231;&#227;o%20com%20a%20m&#237;dia" TargetMode="External"/><Relationship Id="rId195" Type="http://schemas.openxmlformats.org/officeDocument/2006/relationships/hyperlink" Target="file:///\\China\mmd_qatc\Evid&#234;ncias\Dom&#237;nio%20C\CONTROLE%20INTERNO\Atividades%20de%20controle%20interno%20dos%20Tribunais%20de%20Contas" TargetMode="External"/><Relationship Id="rId209" Type="http://schemas.openxmlformats.org/officeDocument/2006/relationships/hyperlink" Target="file:///\\China\mmd_qatc\Evid&#234;ncias\Dom&#237;nio%20C\CONTROLE%20INTERNO\Controle%20interno%20dos%20jurisdicionados" TargetMode="External"/><Relationship Id="rId190" Type="http://schemas.openxmlformats.org/officeDocument/2006/relationships/hyperlink" Target="file:///\\China\mmd_qatc\Evid&#234;ncias\Dom&#237;nio%20E\INFORMA&#199;&#213;ES%20ESTRAT&#201;GICAS%20PARA%20O%20CONTROLE%20EXTERNO\Coopera&#231;&#227;o%20Interinstitucional" TargetMode="External"/><Relationship Id="rId204" Type="http://schemas.openxmlformats.org/officeDocument/2006/relationships/hyperlink" Target="file:///\\China\mmd_qatc\Evid&#234;ncias\Dom&#237;nio%20H\OUVIDORIA\Atividades%20da%20Ouvidoria" TargetMode="External"/><Relationship Id="rId220" Type="http://schemas.openxmlformats.org/officeDocument/2006/relationships/hyperlink" Target="http://ouvidoria.tce.mg.gov.br/index.php/2014-03-27-18-05-40/relatorios-analiticos" TargetMode="External"/><Relationship Id="rId225" Type="http://schemas.openxmlformats.org/officeDocument/2006/relationships/hyperlink" Target="file:///\\China\mmd_qatc\Evid&#234;ncias\Dom&#237;nio%20H\OUVIDORIA\Estrutura%20da%20Ouvidoria" TargetMode="External"/><Relationship Id="rId241" Type="http://schemas.openxmlformats.org/officeDocument/2006/relationships/hyperlink" Target="file:///\\China\mmd_qatc\Evid&#234;ncias\Dom&#237;nio%20G\AUDITORIAS%20COM%20TEMAS%20ESPEC&#205;FICOS\Auditoria%20de%20meio%20ambiente\Apresenta&#231;&#227;o,%20publica&#231;&#227;o%20e%20dissemina&#231;&#227;o%20dos%20resultados" TargetMode="External"/><Relationship Id="rId246" Type="http://schemas.openxmlformats.org/officeDocument/2006/relationships/hyperlink" Target="file:///\\China\mmd_qatc\Evid&#234;ncias\Dom&#237;nio%20E\AGILIDADE%20NO%20JULGAMENTO%20DE%20PROCESSOS%20E%20GERENCIAMENTO%20DE%20%20PRAZOS%20PELOS%20TRIBUNAIS%20DE%20CONTAS\Medidas%20para%20racionalizar%20a%20gera&#231;&#227;o%20de%20processos%20(antes%20da%20autua&#231;&#227;o)" TargetMode="External"/><Relationship Id="rId267" Type="http://schemas.openxmlformats.org/officeDocument/2006/relationships/hyperlink" Target="file:///\\China\mmd_qatc\Evid&#234;ncias\Dom&#237;nio%20F\FUNDAMENTOS%20DA%20AUDITORIA%20OPERACIONAL\Gest&#227;o%20e%20qualifica&#231;&#245;es%20da%20equipe%20de%20auditoria%20operacional" TargetMode="External"/><Relationship Id="rId15" Type="http://schemas.openxmlformats.org/officeDocument/2006/relationships/hyperlink" Target="file:///\\China\mmd_qatc\Evid&#234;ncias\Dom&#237;nio%20D\GEST&#195;O%20DE%20PESSOAS\Plano%20de%20cargos,%20carreiras%20e%20sal&#225;rios\Item%20a" TargetMode="External"/><Relationship Id="rId36" Type="http://schemas.openxmlformats.org/officeDocument/2006/relationships/hyperlink" Target="file:///\\China\mmd_qatc\Evid&#234;ncias\Dom&#237;nio%20D\GEST&#195;O%20DE%20PESSOAS\Lideran&#231;a,%20avalia&#231;&#227;o%20de%20desempenho%20e%20valoriza&#231;&#227;o%20dos%20servidores\Item%20d" TargetMode="External"/><Relationship Id="rId57" Type="http://schemas.openxmlformats.org/officeDocument/2006/relationships/hyperlink" Target="http://mapjuris.tce.mg.gov.br/" TargetMode="External"/><Relationship Id="rId106" Type="http://schemas.openxmlformats.org/officeDocument/2006/relationships/hyperlink" Target="file:///\\China\mmd_qatc\Evid&#234;ncias\Dom&#237;nio%20D\ESCOLA%20DE%20CONTAS\Estrutura%20da%20Escola%20de%20Contas" TargetMode="External"/><Relationship Id="rId127" Type="http://schemas.openxmlformats.org/officeDocument/2006/relationships/hyperlink" Target="file:///\\China\mmd_qatc\Evid&#234;ncias\Dom&#237;nio%20E\CONTROLE%20EXTERNO%20CONCOMITANTE\Planejamento%20e%20execu&#231;&#227;o%20do%20controle%20concomitante" TargetMode="External"/><Relationship Id="rId262" Type="http://schemas.openxmlformats.org/officeDocument/2006/relationships/hyperlink" Target="..\Evid&#234;ncias\Dom&#237;nio%20F\FUNDAMENTOS%20DA%20AUDITORIA%20OPERACIONAL\Normas%20e%20orienta&#231;&#245;es%20da%20auditoria%20de%20operacional" TargetMode="External"/><Relationship Id="rId10" Type="http://schemas.openxmlformats.org/officeDocument/2006/relationships/hyperlink" Target="http://mapjuris.tce.mg.gov.br/" TargetMode="External"/><Relationship Id="rId31" Type="http://schemas.openxmlformats.org/officeDocument/2006/relationships/hyperlink" Target="file:///\\China\mmd_qatc\Evid&#234;ncias\Dom&#237;nio%20D\GEST&#195;O%20DE%20PESSOAS\Recrutamento,%20lota&#231;&#227;o%20e%20lideran&#231;a\Item%20f" TargetMode="External"/><Relationship Id="rId52" Type="http://schemas.openxmlformats.org/officeDocument/2006/relationships/hyperlink" Target="file:///\\China\mmd_qatc\Evid&#234;ncias\Dom&#237;nio%20A\Quanto%20aos%20Conselheiros%20Substitutos" TargetMode="External"/><Relationship Id="rId73" Type="http://schemas.openxmlformats.org/officeDocument/2006/relationships/hyperlink" Target="file:///\\China\mmd_qatc\Evid&#234;ncias\Dom&#237;nio%20B\Dimens&#227;o%20i%20-%20Estrutura%20da%20unidade%20de%20planejamento%20estrat&#233;gico\c" TargetMode="External"/><Relationship Id="rId78" Type="http://schemas.openxmlformats.org/officeDocument/2006/relationships/hyperlink" Target="file:///\\China\mmd_qatc\Evid&#234;ncias\Dom&#237;nio%20B\Dimens&#227;o%20ii%20-%20Conte&#250;do%20do%20planejamento%20estrat&#233;gico\d" TargetMode="External"/><Relationship Id="rId94" Type="http://schemas.openxmlformats.org/officeDocument/2006/relationships/hyperlink" Target="file:///\\China\mmd_qatc\Evid&#234;ncias\Dom&#237;nio%20C\CONTROLE%20INTERNO\Unidade%20de%20Controle%20Interno%20dos%20Tribunais%20de%20Contas" TargetMode="External"/><Relationship Id="rId99" Type="http://schemas.openxmlformats.org/officeDocument/2006/relationships/hyperlink" Target="http://tcjuris.tce.mg.gov.br/" TargetMode="External"/><Relationship Id="rId101" Type="http://schemas.openxmlformats.org/officeDocument/2006/relationships/hyperlink" Target="file:///\\China\mmd_qatc\Evid&#234;ncias\Dom&#237;nio%20C\CONTROLE%20INTERNO\Atividades%20de%20controle%20interno%20dos%20Tribunais%20de%20Contas" TargetMode="External"/><Relationship Id="rId122" Type="http://schemas.openxmlformats.org/officeDocument/2006/relationships/hyperlink" Target="file:///\\China\mmd_qatc\Evid&#234;ncias\Dom&#237;nio%20E\CONTROLE%20EXTERNO%20CONCOMITANTE\Termos%20de%20Ajuste%20de%20Gest&#227;o%20e%20Medidas%20Cautelares" TargetMode="External"/><Relationship Id="rId143" Type="http://schemas.openxmlformats.org/officeDocument/2006/relationships/hyperlink" Target="file:///\\China\mmd_qatc\Evid&#234;ncias\Dom&#237;nio%20F\FUNDAMENTOS%20DA%20AUDITORIA%20DE%20CONFORMIDADE\Normas%20e%20orienta&#231;&#245;es%20da%20auditoria%20de%20conformidade" TargetMode="External"/><Relationship Id="rId148" Type="http://schemas.openxmlformats.org/officeDocument/2006/relationships/hyperlink" Target="file:///\\China\mmd_qatc\Evid&#234;ncias\Dom&#237;nio%20F\PROCESSO%20DE%20AUDITORIA%20DE%20CONFORMIDADE\Planejamento%20de%20auditorias%20de%20conformidade" TargetMode="External"/><Relationship Id="rId164" Type="http://schemas.openxmlformats.org/officeDocument/2006/relationships/hyperlink" Target="file:///\\China\mmd_qatc\Evid&#234;ncias\Dom&#237;nio%20F\PROCESSO%20DE%20AUDITORIA%20OPERACIONAL\Relat&#243;rios%20de%20auditorias%20operacionais" TargetMode="External"/><Relationship Id="rId169" Type="http://schemas.openxmlformats.org/officeDocument/2006/relationships/hyperlink" Target="file:///\\China\mmd_qatc\Evid&#234;ncias\Dom&#237;nio%20G\AUDITORIA%20FINANCEIRA\Fundamentos%20de%20auditorias%20financeiras" TargetMode="External"/><Relationship Id="rId185" Type="http://schemas.openxmlformats.org/officeDocument/2006/relationships/hyperlink" Target="file:///\\China\mmd_qatc\Evid&#234;ncias\Dom&#237;nio%20H\OUVIDORIA\Atividades%20da%20Ouvidoria" TargetMode="External"/><Relationship Id="rId4" Type="http://schemas.openxmlformats.org/officeDocument/2006/relationships/hyperlink" Target="file:///\\China\mmd_qatc\Evid&#234;ncias\Dom&#237;nio%20A\Quanto%20aos%20Ministros%20e%20Conselheiros\Item%20d" TargetMode="External"/><Relationship Id="rId9" Type="http://schemas.openxmlformats.org/officeDocument/2006/relationships/hyperlink" Target="http://corregedoria.tce.mg.gov.br/index.php/biblioteca/legislacao/item/24-resolucao-n-14-de-11-de-setembro-de-2013" TargetMode="External"/><Relationship Id="rId180" Type="http://schemas.openxmlformats.org/officeDocument/2006/relationships/hyperlink" Target="file:///\\China\mmd_qatc\Evid&#234;ncias\Dom&#237;nio%20H\COMUNICA&#199;&#195;O%20COM%20A%20M&#205;DIA,%20COM%20OS%20CIDAD&#195;OS%20E%20COM%20AS%20ORGANIZA&#199;&#213;ES%20DA%20DA%20SOCIEDADE%20CIVIL\Comunica&#231;&#227;o%20com%20a%20m&#237;dia" TargetMode="External"/><Relationship Id="rId210" Type="http://schemas.openxmlformats.org/officeDocument/2006/relationships/hyperlink" Target="http://www.tce.mg.gov.br/" TargetMode="External"/><Relationship Id="rId215" Type="http://schemas.openxmlformats.org/officeDocument/2006/relationships/hyperlink" Target="http://www.tce.mg.gov.br/Diretora-Geral-conta-experiencia-do-TCEMG-em-evento-internacional-de-transparencia-na-PBH-.html/Noticia/1111621330" TargetMode="External"/><Relationship Id="rId236" Type="http://schemas.openxmlformats.org/officeDocument/2006/relationships/hyperlink" Target="file:///\\China\mmd_qatc\Evid&#234;ncias\Dom&#237;nio%20G\RESULTADO%20DAS%20AUDITORIAS%20OPERACIONAIS\Abrang&#234;ncia,%20sele&#231;&#227;o%20e%20objetivo" TargetMode="External"/><Relationship Id="rId257" Type="http://schemas.openxmlformats.org/officeDocument/2006/relationships/hyperlink" Target="file:///\\China\mmd_qatc\Evid&#234;ncias\Dom&#237;nio%20F\PROCESSO%20DE%20AUDITORIA%20DE%20CONFORMIDADE\Execu&#231;&#227;o%20de%20auditoria%20de%20conformidade" TargetMode="External"/><Relationship Id="rId26" Type="http://schemas.openxmlformats.org/officeDocument/2006/relationships/hyperlink" Target="file:///\\China\mmd_qatc\Evid&#234;ncias\Dom&#237;nio%20D\GEST&#195;O%20DE%20PESSOAS\Pol&#237;tica%20de%20sa&#250;de%20e%20qualidade%20de%20vida%20no%20trabalho\Item%20g" TargetMode="External"/><Relationship Id="rId231" Type="http://schemas.openxmlformats.org/officeDocument/2006/relationships/hyperlink" Target="file:///\\China\mmd_qatc\Evid&#234;ncias\Dom&#237;nio%20G\AUDITORIA%20FINANCEIRA\Resultados%20de%20auditoria%20financeira\RELAT%20FINAL%20DE%20AUDITORIA.docx" TargetMode="External"/><Relationship Id="rId252" Type="http://schemas.openxmlformats.org/officeDocument/2006/relationships/hyperlink" Target="http://portalgeoobras.tce.mg.gov.br/" TargetMode="External"/><Relationship Id="rId273" Type="http://schemas.openxmlformats.org/officeDocument/2006/relationships/hyperlink" Target="http://sicomconsulta.tce.mg.gov.br/" TargetMode="External"/><Relationship Id="rId47" Type="http://schemas.openxmlformats.org/officeDocument/2006/relationships/hyperlink" Target="file:///\\China\mmd_qatc\Evid&#234;ncias\Dom&#237;nio%20F\PLANEJAMENTO%20GERAL%20DA%20AUDITORIA%20E%20GEST&#195;O%20DA%20QUALIDADE\Cronograma%20primeiro%20semestre" TargetMode="External"/><Relationship Id="rId68" Type="http://schemas.openxmlformats.org/officeDocument/2006/relationships/hyperlink" Target="http://www.tce.mg.gov.br/Auditoria-Operacional-avalia-as-areas-de-Educacao-Saude-e-Meio-Ambiente-.html/Noticia/1111620986" TargetMode="External"/><Relationship Id="rId89" Type="http://schemas.openxmlformats.org/officeDocument/2006/relationships/hyperlink" Target="file:///\\China\mmd_qatc\Evid&#234;ncias\Dom&#237;nio%20B\Dimens&#227;o%20iv%20-%20Processo%20de%20planejamento%20anual\c" TargetMode="External"/><Relationship Id="rId112" Type="http://schemas.openxmlformats.org/officeDocument/2006/relationships/hyperlink" Target="file:///\\China\mmd_qatc\Evid&#234;ncias\Dom&#237;nio%20E\AGILIDADE%20NO%20JULGAMENTO%20DE%20PROCESSOS%20E%20GERENCIAMENTO%20DE%20%20PRAZOS%20PELOS%20TRIBUNAIS%20DE%20CONTAS\Prazos%20para%20aprecia&#231;&#227;o%20de%20processos%20(julgamento,%20emiss&#227;o%20de%20parecer,%20registro%20etc.)" TargetMode="External"/><Relationship Id="rId133" Type="http://schemas.openxmlformats.org/officeDocument/2006/relationships/hyperlink" Target="file:///\\China\mmd_qatc\Evid&#234;ncias\Dom&#237;nio%20E\ACOMPANHAMENTO%20DAS%20DECIS&#213;ES\Processos%20de%20acompanhamento%20da%20aplica&#231;&#227;o%20de%20multas,%20imputa&#231;&#227;o%20de%20d&#233;bitos,%20determina&#231;&#245;es%20e%20recomenda&#231;&#245;es" TargetMode="External"/><Relationship Id="rId154" Type="http://schemas.openxmlformats.org/officeDocument/2006/relationships/hyperlink" Target="file:///\\China\mmd_qatc\Evid&#234;ncias\Dom&#237;nio%20F\PROCESSO%20DE%20AUDITORIA%20DE%20CONFORMIDADE\Avalia&#231;&#227;o%20das%20evid&#234;ncias%20de%20auditoria,%20conclus&#227;o%20e%20relat&#243;rio%20de%20auditoria%20de%20conformidade" TargetMode="External"/><Relationship Id="rId175" Type="http://schemas.openxmlformats.org/officeDocument/2006/relationships/hyperlink" Target="file:///\\China\mmd_qatc\Evid&#234;ncias\Dom&#237;nio%20G\AUDITORIAS%20COM%20TEMAS%20ESPEC&#205;FICOS\Auditoria%20de%20Concess&#245;es%20P&#250;blicas" TargetMode="External"/><Relationship Id="rId196" Type="http://schemas.openxmlformats.org/officeDocument/2006/relationships/hyperlink" Target="http://tce.mg.gov.br/" TargetMode="External"/><Relationship Id="rId200" Type="http://schemas.openxmlformats.org/officeDocument/2006/relationships/hyperlink" Target="file:///\\China\mmd_qatc\Evid&#234;ncias\Dom&#237;nio%20H\COMUNICA&#199;&#195;O%20COM%20A%20M&#205;DIA,%20COM%20OS%20CIDAD&#195;OS%20E%20COM%20AS%20ORGANIZA&#199;&#213;ES%20DA%20DA%20SOCIEDADE%20CIVIL\Estrutura&#231;&#227;o%20da%20&#193;rea%20de%20comunica&#231;&#227;o%20social%20e%20Pol&#237;tica%20de%20Comunica&#231;&#227;o" TargetMode="External"/><Relationship Id="rId16" Type="http://schemas.openxmlformats.org/officeDocument/2006/relationships/hyperlink" Target="file:///\\China\mmd_qatc\Evid&#234;ncias\Dom&#237;nio%20D\GEST&#195;O%20DE%20PESSOAS\Plano%20de%20cargos,%20carreiras%20e%20sal&#225;rios\Item%20b" TargetMode="External"/><Relationship Id="rId221" Type="http://schemas.openxmlformats.org/officeDocument/2006/relationships/hyperlink" Target="http://ouvidoria.tce.mg.gov.br/index.php/2014-03-27-18-05-40/relatorios-analiticos/item/91-relat&#243;rio-anal&#237;tico-2013" TargetMode="External"/><Relationship Id="rId242" Type="http://schemas.openxmlformats.org/officeDocument/2006/relationships/hyperlink" Target="file:///\\China\mmd_qatc\Evid&#234;ncias\Dom&#237;nio%20F\FUNDAMENTOS%20DA%20AUDITORIA%20OPERACIONAL" TargetMode="External"/><Relationship Id="rId263" Type="http://schemas.openxmlformats.org/officeDocument/2006/relationships/hyperlink" Target="..\Evid&#234;ncias\Dom&#237;nio%20F\FUNDAMENTOS%20DA%20AUDITORIA%20OPERACIONAL\&#201;tica%20e%20independ&#234;ncia%20na%20auditoria%20operacional" TargetMode="External"/><Relationship Id="rId37" Type="http://schemas.openxmlformats.org/officeDocument/2006/relationships/hyperlink" Target="file:///\\China\mmd_qatc\Evid&#234;ncias\Dom&#237;nio%20D\GEST&#195;O%20DE%20PESSOAS\Lideran&#231;a,%20avalia&#231;&#227;o%20de%20desempenho%20e%20valoriza&#231;&#227;o%20dos%20servidores\Item%20e" TargetMode="External"/><Relationship Id="rId58" Type="http://schemas.openxmlformats.org/officeDocument/2006/relationships/hyperlink" Target="http://www.tce.mg.gov.br/" TargetMode="External"/><Relationship Id="rId79" Type="http://schemas.openxmlformats.org/officeDocument/2006/relationships/hyperlink" Target="file:///\\China\mmd_qatc\Evid&#234;ncias\Dom&#237;nio%20B\Dimens&#227;o%20ii%20-%20Conte&#250;do%20do%20planejamento%20estrat&#233;gico\e" TargetMode="External"/><Relationship Id="rId102" Type="http://schemas.openxmlformats.org/officeDocument/2006/relationships/hyperlink" Target="file:///\\China\mmd_qatc\Evid&#234;ncias\Dom&#237;nio%20C\CONTROLE%20INTERNO\Atividades%20de%20controle%20interno%20dos%20Tribunais%20de%20Contas" TargetMode="External"/><Relationship Id="rId123" Type="http://schemas.openxmlformats.org/officeDocument/2006/relationships/hyperlink" Target="file:///\\China\mmd_qatc\Evid&#234;ncias\Dom&#237;nio%20E\CONTROLE%20EXTERNO%20CONCOMITANTE\Termos%20de%20Ajuste%20de%20Gest&#227;o%20e%20Medidas%20Cautelares" TargetMode="External"/><Relationship Id="rId144" Type="http://schemas.openxmlformats.org/officeDocument/2006/relationships/hyperlink" Target="file:///\\China\mmd_qatc\Evid&#234;ncias\Dom&#237;nio%20F\FUNDAMENTOS%20DA%20AUDITORIA%20DE%20CONFORMIDADE\Normas%20e%20orienta&#231;&#245;es%20da%20auditoria%20de%20conformidade" TargetMode="External"/><Relationship Id="rId90" Type="http://schemas.openxmlformats.org/officeDocument/2006/relationships/hyperlink" Target="file:///\\China\mmd_qatc\Evid&#234;ncias\Dom&#237;nio%20C\CORREGEDORIA\Estrutura%20da%20Corregedoria\a" TargetMode="External"/><Relationship Id="rId165" Type="http://schemas.openxmlformats.org/officeDocument/2006/relationships/hyperlink" Target="file:///\\China\mmd_qatc\Evid&#234;ncias\Dom&#237;nio%20F\PROCESSO%20DE%20AUDITORIA%20OPERACIONAL\Relat&#243;rios%20de%20auditorias%20operacionais" TargetMode="External"/><Relationship Id="rId186" Type="http://schemas.openxmlformats.org/officeDocument/2006/relationships/hyperlink" Target="file:///\\China\mmd_qatc\Evid&#234;ncias\Dom&#237;nio%20C\CORREGEDORIA\Estrutura%20da%20Corregedoria\a" TargetMode="External"/><Relationship Id="rId211" Type="http://schemas.openxmlformats.org/officeDocument/2006/relationships/hyperlink" Target="http://fiscalizandocomtce.tce.mg.gov.br/" TargetMode="External"/><Relationship Id="rId232" Type="http://schemas.openxmlformats.org/officeDocument/2006/relationships/hyperlink" Target="file:///\\China\mmd_qatc\Evid&#234;ncias\Dom&#237;nio%20G\RESULTADO%20DAS%20AUDITORIAS%20OPERACIONAIS\Abrang&#234;ncia,%20sele&#231;&#227;o%20e%20objetivo" TargetMode="External"/><Relationship Id="rId253" Type="http://schemas.openxmlformats.org/officeDocument/2006/relationships/hyperlink" Target="file:///\\China\mmd_qatc\Evid&#234;ncias\Dom&#237;nio%20E\INFORMA&#199;&#213;ES%20ESTRAT&#201;GICAS%20PARA%20O%20CONTROLE%20EXTERNO\Infraestrutura%20da%20unidade%20de%20informa&#231;&#245;es%20estrat&#233;gicas\Relat&#243;rio%20Atividades%20Cursos%20Palestras%20Visitas%20t&#233;cnicas(SURICATO).doc" TargetMode="External"/><Relationship Id="rId274" Type="http://schemas.openxmlformats.org/officeDocument/2006/relationships/printerSettings" Target="../printerSettings/printerSettings1.bin"/><Relationship Id="rId27" Type="http://schemas.openxmlformats.org/officeDocument/2006/relationships/hyperlink" Target="file:///\\China\mmd_qatc\Evid&#234;ncias\Dom&#237;nio%20D\GEST&#195;O%20DE%20PESSOAS\Recrutamento,%20lota&#231;&#227;o%20e%20lideran&#231;a\Item%20a" TargetMode="External"/><Relationship Id="rId48" Type="http://schemas.openxmlformats.org/officeDocument/2006/relationships/hyperlink" Target="file:///\\China\mmd_qatc\Evid&#234;ncias\Dom&#237;nio%20A\Quanto%20aos%20Conselheiros%20Substitutos" TargetMode="External"/><Relationship Id="rId69" Type="http://schemas.openxmlformats.org/officeDocument/2006/relationships/hyperlink" Target="http://tcjuris.tce.mg.gov.br/" TargetMode="External"/><Relationship Id="rId113" Type="http://schemas.openxmlformats.org/officeDocument/2006/relationships/hyperlink" Target="file:///\\China\mmd_qatc\Evid&#234;ncias\Dom&#237;nio%20E\AGILIDADE%20NO%20JULGAMENTO%20DE%20PROCESSOS%20E%20GERENCIAMENTO%20DE%20%20PRAZOS%20PELOS%20TRIBUNAIS%20DE%20CONTAS\Medidas%20para%20racionalizar%20a%20gera&#231;&#227;o%20de%20processos%20(antes%20da%20autua&#231;&#227;o)" TargetMode="External"/><Relationship Id="rId134" Type="http://schemas.openxmlformats.org/officeDocument/2006/relationships/hyperlink" Target="file:///\\China\mmd_qatc\Evid&#234;ncias\Dom&#237;nio%20E\ACOMPANHAMENTO%20DAS%20DECIS&#213;ES\Processos%20de%20acompanhamento%20da%20aplica&#231;&#227;o%20de%20multas,%20imputa&#231;&#227;o%20de%20d&#233;bitos,%20determina&#231;&#245;es%20e%20recomenda&#231;&#245;es" TargetMode="External"/><Relationship Id="rId80" Type="http://schemas.openxmlformats.org/officeDocument/2006/relationships/hyperlink" Target="file:///\\China\mmd_qatc\Evid&#234;ncias\Dom&#237;nio%20B\Dimens&#227;o%20iii%20-Processo%20de%20planejamento%20estrat&#233;gico\a" TargetMode="External"/><Relationship Id="rId155" Type="http://schemas.openxmlformats.org/officeDocument/2006/relationships/hyperlink" Target="file:///\\China\mmd_qatc\Evid&#234;ncias\Dom&#237;nio%20F\PROCESSO%20DE%20AUDITORIA%20DE%20CONFORMIDADE\Avalia&#231;&#227;o%20das%20evid&#234;ncias%20de%20auditoria,%20conclus&#227;o%20e%20relat&#243;rio%20de%20auditoria%20de%20conformidade" TargetMode="External"/><Relationship Id="rId176" Type="http://schemas.openxmlformats.org/officeDocument/2006/relationships/hyperlink" Target="file:///\\China\mmd_qatc\Evid&#234;ncias\Dom&#237;nio%20G\AUDITORIAS%20COM%20TEMAS%20ESPEC&#205;FICOS\Auditoria%20de%20Concess&#245;es%20P&#250;blicas" TargetMode="External"/><Relationship Id="rId197" Type="http://schemas.openxmlformats.org/officeDocument/2006/relationships/hyperlink" Target="http://fiscalizandocomtce.tce.mg.gov.br/Paginas/Compras_Publicas" TargetMode="External"/><Relationship Id="rId201" Type="http://schemas.openxmlformats.org/officeDocument/2006/relationships/hyperlink" Target="file:///\\China\mmd_qatc\Evid&#234;ncias\Dom&#237;nio%20C\CONTROLE%20INTERNO\Controle%20interno%20dos%20jurisdicionados" TargetMode="External"/><Relationship Id="rId222" Type="http://schemas.openxmlformats.org/officeDocument/2006/relationships/hyperlink" Target="http://www.tce.mg.gov.br/IMG/Comissao%20de%20Publicacoes/Folder_aberto.pdf" TargetMode="External"/><Relationship Id="rId243" Type="http://schemas.openxmlformats.org/officeDocument/2006/relationships/hyperlink" Target="file:///\\China\mmd_qatc\Evid&#234;ncias\Dom&#237;nio%20G\RESULTADO%20DAS%20AUDITORIAS%20OPERACIONAIS\Acompanhamento%20da%20implementa&#231;&#227;o%20das%20determina&#231;&#245;es%20e%20recomenda&#231;&#245;es" TargetMode="External"/><Relationship Id="rId264" Type="http://schemas.openxmlformats.org/officeDocument/2006/relationships/hyperlink" Target="..\Evid&#234;ncias\Dom&#237;nio%20E\AGILIDADE%20NO%20JULGAMENTO%20DE%20PROCESSOS%20E%20GERENCIAMENTO%20DE%20%20PRAZOS%20PELOS%20TRIBUNAIS%20DE%20CONTAS\Medidas%20para%20racionalizar%20a%20gera&#231;&#227;o%20de%20processos%20(antes%20da%20autua&#231;&#227;o)" TargetMode="External"/><Relationship Id="rId17" Type="http://schemas.openxmlformats.org/officeDocument/2006/relationships/hyperlink" Target="file:///\\China\mmd_qatc\Evid&#234;ncias\Dom&#237;nio%20D\GEST&#195;O%20DE%20PESSOAS\Plano%20de%20cargos,%20carreiras%20e%20sal&#225;rios\Item%20c" TargetMode="External"/><Relationship Id="rId38" Type="http://schemas.openxmlformats.org/officeDocument/2006/relationships/hyperlink" Target="file:///\\China\mmd_qatc\Evid&#234;ncias\Dom&#237;nio%20D\GEST&#195;O%20DE%20PESSOAS\Lideran&#231;a,%20avalia&#231;&#227;o%20de%20desempenho%20e%20valoriza&#231;&#227;o%20dos%20servidores\Item%20f" TargetMode="External"/><Relationship Id="rId59" Type="http://schemas.openxmlformats.org/officeDocument/2006/relationships/hyperlink" Target="file:///\\China\mmd_qatc\Evid&#234;ncias\Dom&#237;nio%20C\S&#218;MULA%20E%20JURISPRUD&#202;NCIA\S&#250;mulas" TargetMode="External"/><Relationship Id="rId103" Type="http://schemas.openxmlformats.org/officeDocument/2006/relationships/hyperlink" Target="file:///\\China\mmd_qatc\Evid&#234;ncias\Dom&#237;nio%20C\CONTROLE%20INTERNO\Ambiente%20de%20Controle%20Interno\Relat&#243;rio%20da%20Controladoria%20Interna.pdf" TargetMode="External"/><Relationship Id="rId124" Type="http://schemas.openxmlformats.org/officeDocument/2006/relationships/hyperlink" Target="file:///\\China\mmd_qatc\Evid&#234;ncias\Dom&#237;nio%20E\CONTROLE%20EXTERNO%20CONCOMITANTE\Planejamento%20e%20execu&#231;&#227;o%20do%20controle%20concomitante" TargetMode="External"/><Relationship Id="rId70" Type="http://schemas.openxmlformats.org/officeDocument/2006/relationships/hyperlink" Target="file:///\\China\mmd_qatc\Evid&#234;ncias\Dom&#237;nio%20A\Quanto%20ao%20Minist&#233;rio%20P&#250;blico%20de%20Contas" TargetMode="External"/><Relationship Id="rId91" Type="http://schemas.openxmlformats.org/officeDocument/2006/relationships/hyperlink" Target="file:///\\China\mmd_qatc\Evid&#234;ncias\Dom&#237;nio%20D\ESCOLA%20DE%20CONTAS\Estrutura%20da%20Escola%20de%20Contas" TargetMode="External"/><Relationship Id="rId145" Type="http://schemas.openxmlformats.org/officeDocument/2006/relationships/hyperlink" Target="file:///\\China\mmd_qatc\Evid&#234;ncias\Dom&#237;nio%20F\FUNDAMENTOS%20DA%20AUDITORIA%20DE%20CONFORMIDADE\Normas%20e%20orienta&#231;&#245;es%20da%20auditoria%20de%20conformidade" TargetMode="External"/><Relationship Id="rId166" Type="http://schemas.openxmlformats.org/officeDocument/2006/relationships/hyperlink" Target="file:///\\China\mmd_qatc\Evid&#234;ncias\Dom&#237;nio%20F\PROCESSO%20DE%20AUDITORIA%20OPERACIONAL\Relat&#243;rios%20de%20auditorias%20operacionais" TargetMode="External"/><Relationship Id="rId187" Type="http://schemas.openxmlformats.org/officeDocument/2006/relationships/hyperlink" Target="file:///\\China\mmd_qatc\Evid&#234;ncias\Dom&#237;nio%20E\DESENVOLVIMENTO%20LOCAL\Implementa&#231;&#227;o%20da%20norma" TargetMode="External"/><Relationship Id="rId1" Type="http://schemas.openxmlformats.org/officeDocument/2006/relationships/hyperlink" Target="file:///\\China\mmd_qatc\Evid&#234;ncias\Dom&#237;nio%20A\Quanto%20aos%20Ministros%20e%20Conselheiros\Item%20a" TargetMode="External"/><Relationship Id="rId212" Type="http://schemas.openxmlformats.org/officeDocument/2006/relationships/hyperlink" Target="http://www.tce.mg.gov.br/" TargetMode="External"/><Relationship Id="rId233" Type="http://schemas.openxmlformats.org/officeDocument/2006/relationships/hyperlink" Target="file:///\\China\mmd_qatc\Evid&#234;ncias\Dom&#237;nio%20G\RESULTADO%20DAS%20AUDITORIAS%20OPERACIONAIS\Acompanhamento%20da%20implementa&#231;&#227;o%20das%20determina&#231;&#245;es%20e%20recomenda&#231;&#245;es" TargetMode="External"/><Relationship Id="rId254" Type="http://schemas.openxmlformats.org/officeDocument/2006/relationships/hyperlink" Target="file:///\\China\mmd_qatc\Evid&#234;ncias\Dom&#237;nio%20E\AGILIDADE%20NO%20JULGAMENTO%20DE%20PROCESSOS%20E%20GERENCIAMENTO%20DE%20%20PRAZOS%20PELOS%20TRIBUNAIS%20DE%20CONTAS\Medidas%20para%20eliminar%20ou%20reduzir%20o%20estoque%20de%20processos%20e%20gerenciar%20os%20prazos" TargetMode="External"/><Relationship Id="rId28" Type="http://schemas.openxmlformats.org/officeDocument/2006/relationships/hyperlink" Target="file:///\\China\mmd_qatc\Evid&#234;ncias\Dom&#237;nio%20D\GEST&#195;O%20DE%20PESSOAS\Recrutamento,%20lota&#231;&#227;o%20e%20lideran&#231;a\Item%20b" TargetMode="External"/><Relationship Id="rId49" Type="http://schemas.openxmlformats.org/officeDocument/2006/relationships/hyperlink" Target="file:///\\China\mmd_qatc\Evid&#234;ncias\Dom&#237;nio%20A\Quanto%20aos%20Conselheiros%20Substitutos" TargetMode="External"/><Relationship Id="rId114" Type="http://schemas.openxmlformats.org/officeDocument/2006/relationships/hyperlink" Target="file:///\\China\mmd_qatc\Evid&#234;ncias\Dom&#237;nio%20E\AGILIDADE%20NO%20JULGAMENTO%20DE%20PROCESSOS%20E%20GERENCIAMENTO%20DE%20%20PRAZOS%20PELOS%20TRIBUNAIS%20DE%20CONTAS\Medidas%20para%20racionalizar%20a%20gera&#231;&#227;o%20de%20processos%20(antes%20da%20autua&#231;&#227;o)" TargetMode="Externa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sheetPr>
    <pageSetUpPr fitToPage="1"/>
  </sheetPr>
  <dimension ref="A1:Q666"/>
  <sheetViews>
    <sheetView tabSelected="1" zoomScale="96" zoomScaleNormal="96" workbookViewId="0">
      <pane ySplit="5" topLeftCell="A6" activePane="bottomLeft" state="frozen"/>
      <selection pane="bottomLeft" activeCell="N176" sqref="N176"/>
    </sheetView>
  </sheetViews>
  <sheetFormatPr defaultColWidth="17.28515625" defaultRowHeight="15" customHeight="1"/>
  <cols>
    <col min="1" max="1" width="6.5703125" customWidth="1"/>
    <col min="2" max="2" width="68.85546875" customWidth="1"/>
    <col min="3" max="3" width="6.28515625" customWidth="1"/>
    <col min="4" max="4" width="16.140625" hidden="1" customWidth="1"/>
    <col min="5" max="5" width="39.5703125" hidden="1" customWidth="1"/>
    <col min="6" max="6" width="8.5703125" customWidth="1"/>
    <col min="7" max="7" width="6.7109375" customWidth="1"/>
    <col min="8" max="8" width="0.140625" customWidth="1"/>
    <col min="9" max="9" width="63.85546875" customWidth="1"/>
    <col min="10" max="10" width="4.140625" customWidth="1"/>
    <col min="11" max="11" width="4" customWidth="1"/>
    <col min="12" max="12" width="0.42578125" customWidth="1"/>
    <col min="13" max="13" width="19.7109375" hidden="1" customWidth="1"/>
    <col min="14" max="14" width="9.140625" customWidth="1"/>
  </cols>
  <sheetData>
    <row r="1" spans="1:15" ht="132.75" hidden="1" customHeight="1">
      <c r="A1" s="1"/>
      <c r="B1" s="2"/>
      <c r="C1" s="2"/>
      <c r="D1" s="2"/>
      <c r="E1" s="2"/>
      <c r="F1" s="2"/>
      <c r="G1" s="2"/>
      <c r="H1" s="2"/>
      <c r="I1" s="2"/>
      <c r="J1" s="2"/>
      <c r="K1" s="2"/>
      <c r="L1" s="2"/>
      <c r="M1" s="2"/>
      <c r="N1" s="2"/>
    </row>
    <row r="2" spans="1:15" ht="20.25" customHeight="1">
      <c r="A2" s="548" t="e">
        <f ca="1">image("http://gdurl.com/5WtP",2)</f>
        <v>#NAME?</v>
      </c>
      <c r="B2" s="3" t="s">
        <v>1485</v>
      </c>
      <c r="C2" s="4"/>
      <c r="D2" s="4"/>
      <c r="E2" s="4"/>
      <c r="F2" s="563" t="s">
        <v>0</v>
      </c>
      <c r="G2" s="549"/>
      <c r="H2" s="549"/>
      <c r="I2" s="549"/>
      <c r="J2" s="5"/>
      <c r="K2" s="5"/>
      <c r="L2" s="5"/>
      <c r="M2" s="6"/>
      <c r="N2" s="7"/>
    </row>
    <row r="3" spans="1:15" ht="16.5" customHeight="1">
      <c r="A3" s="549"/>
      <c r="B3" s="3"/>
      <c r="C3" s="4"/>
      <c r="D3" s="4"/>
      <c r="E3" s="4"/>
      <c r="F3" s="563" t="s">
        <v>1</v>
      </c>
      <c r="G3" s="549"/>
      <c r="H3" s="549"/>
      <c r="I3" s="549"/>
      <c r="J3" s="5"/>
      <c r="K3" s="5"/>
      <c r="L3" s="5"/>
      <c r="M3" s="6"/>
      <c r="N3" s="7"/>
    </row>
    <row r="4" spans="1:15" ht="19.5" customHeight="1">
      <c r="A4" s="549"/>
      <c r="B4" s="552" t="s">
        <v>2</v>
      </c>
      <c r="C4" s="549"/>
      <c r="D4" s="549"/>
      <c r="E4" s="549"/>
      <c r="F4" s="549"/>
      <c r="G4" s="549"/>
      <c r="H4" s="549"/>
      <c r="I4" s="549"/>
      <c r="J4" s="549"/>
      <c r="K4" s="549"/>
      <c r="L4" s="549"/>
      <c r="M4" s="549"/>
      <c r="N4" s="7"/>
    </row>
    <row r="5" spans="1:15" ht="36.75" customHeight="1">
      <c r="A5" s="549"/>
      <c r="B5" s="385" t="s">
        <v>3</v>
      </c>
      <c r="C5" s="8" t="s">
        <v>4</v>
      </c>
      <c r="D5" s="8" t="s">
        <v>5</v>
      </c>
      <c r="E5" s="8"/>
      <c r="F5" s="8" t="s">
        <v>6</v>
      </c>
      <c r="G5" s="10" t="s">
        <v>7</v>
      </c>
      <c r="H5" s="8" t="s">
        <v>8</v>
      </c>
      <c r="I5" s="385" t="s">
        <v>9</v>
      </c>
      <c r="J5" s="553" t="s">
        <v>10</v>
      </c>
      <c r="K5" s="577"/>
      <c r="L5" s="553" t="s">
        <v>11</v>
      </c>
      <c r="M5" s="551"/>
      <c r="N5" s="9"/>
      <c r="O5" s="419"/>
    </row>
    <row r="6" spans="1:15" ht="36" customHeight="1">
      <c r="A6" s="554" t="s">
        <v>12</v>
      </c>
      <c r="B6" s="555"/>
      <c r="C6" s="11"/>
      <c r="D6" s="11"/>
      <c r="E6" s="11"/>
      <c r="F6" s="11"/>
      <c r="G6" s="11"/>
      <c r="H6" s="12"/>
      <c r="I6" s="11" t="s">
        <v>13</v>
      </c>
      <c r="J6" s="12" t="s">
        <v>14</v>
      </c>
      <c r="K6" s="12" t="s">
        <v>15</v>
      </c>
      <c r="L6" s="12" t="s">
        <v>14</v>
      </c>
      <c r="M6" s="12" t="s">
        <v>15</v>
      </c>
      <c r="N6" s="2"/>
    </row>
    <row r="7" spans="1:15" ht="27.75" customHeight="1">
      <c r="A7" s="13" t="s">
        <v>16</v>
      </c>
      <c r="B7" s="14" t="s">
        <v>17</v>
      </c>
      <c r="C7" s="15"/>
      <c r="D7" s="16"/>
      <c r="E7" s="17">
        <f>SUM(G9,G14,G21)</f>
        <v>10</v>
      </c>
      <c r="F7" s="18"/>
      <c r="G7" s="19" t="str">
        <f>IF(H7&gt;=2,"Não se aplica",IF(I7&gt;=2,"Sem classificação",IF(F7=4,IF(E7&lt;=2,0,IF(E7&lt;=6,1,IF(E7&lt;=10,2,IF(E7&lt;=14,3,4)))),IF(F7=3,ROUND(AVERAGE(G9,G14,G21),0),IF(F7=2,ROUNDDOWN(AVERAGE(G9,G14,G21),0),"Não se aplica")))))</f>
        <v>Não se aplica</v>
      </c>
      <c r="H7" s="20">
        <f>COUNTIF(G9:G21,"Não se aplica")</f>
        <v>0</v>
      </c>
      <c r="I7" s="21"/>
      <c r="J7" s="22"/>
      <c r="K7" s="22"/>
      <c r="L7" s="22"/>
      <c r="M7" s="22"/>
      <c r="N7" s="2"/>
    </row>
    <row r="8" spans="1:15" ht="18" customHeight="1">
      <c r="A8" s="23" t="s">
        <v>18</v>
      </c>
      <c r="B8" s="24" t="s">
        <v>19</v>
      </c>
      <c r="C8" s="25"/>
      <c r="D8" s="26"/>
      <c r="E8" s="26"/>
      <c r="F8" s="27"/>
      <c r="G8" s="28"/>
      <c r="H8" s="29"/>
      <c r="I8" s="30"/>
      <c r="J8" s="30"/>
      <c r="K8" s="30"/>
      <c r="L8" s="30"/>
      <c r="M8" s="31"/>
      <c r="N8" s="2"/>
    </row>
    <row r="9" spans="1:15" ht="31.5" customHeight="1">
      <c r="A9" s="32" t="s">
        <v>20</v>
      </c>
      <c r="B9" s="33" t="s">
        <v>21</v>
      </c>
      <c r="C9" s="34" t="e">
        <f>VLOOKUP($B$3,[1]QATC01!$B$2:$AG$34,2,FALSE)</f>
        <v>#N/A</v>
      </c>
      <c r="D9" s="35"/>
      <c r="E9" s="35"/>
      <c r="F9" s="34"/>
      <c r="G9" s="36">
        <f>IF(COUNTIF(F10:F13,"Não se aplica")&gt;=2,"Não se aplica",IF(COUNTIF(F10:F13,"Sem classificação")&gt;=2,"Sem classificação",IF(COUNTIF(F10:F13,"Atende")=4,4,IF(COUNTIF(F10:F13,"Atende")&gt;=3,3,IF(COUNTIF(F10:F13,"Atende")&gt;=2,2,IF(COUNTIF(F10:F13,"Atende")&gt;=1,1,0))))))</f>
        <v>4</v>
      </c>
      <c r="H9" s="34"/>
      <c r="I9" s="37"/>
      <c r="J9" s="37"/>
      <c r="K9" s="37"/>
      <c r="L9" s="37"/>
      <c r="M9" s="37"/>
      <c r="N9" s="2"/>
    </row>
    <row r="10" spans="1:15" ht="69.75" customHeight="1">
      <c r="A10" s="38" t="s">
        <v>22</v>
      </c>
      <c r="B10" s="39" t="s">
        <v>23</v>
      </c>
      <c r="C10" s="40"/>
      <c r="D10" s="41"/>
      <c r="E10" s="41"/>
      <c r="F10" s="23" t="s">
        <v>1258</v>
      </c>
      <c r="G10" s="42">
        <f t="shared" ref="G10:G13" si="0">IF(F10="Atende",1,0)</f>
        <v>1</v>
      </c>
      <c r="H10" s="556" t="s">
        <v>24</v>
      </c>
      <c r="I10" s="247" t="s">
        <v>1946</v>
      </c>
      <c r="J10" s="30" t="s">
        <v>1956</v>
      </c>
      <c r="K10" s="30"/>
      <c r="L10" s="30"/>
      <c r="M10" s="31"/>
      <c r="N10" s="390" t="s">
        <v>1489</v>
      </c>
    </row>
    <row r="11" spans="1:15" ht="66" customHeight="1">
      <c r="A11" s="38" t="s">
        <v>25</v>
      </c>
      <c r="B11" s="39" t="s">
        <v>27</v>
      </c>
      <c r="C11" s="40"/>
      <c r="D11" s="41"/>
      <c r="E11" s="41"/>
      <c r="F11" s="23" t="s">
        <v>1258</v>
      </c>
      <c r="G11" s="42">
        <f t="shared" si="0"/>
        <v>1</v>
      </c>
      <c r="H11" s="557"/>
      <c r="I11" s="247" t="s">
        <v>1486</v>
      </c>
      <c r="J11" s="30" t="s">
        <v>1956</v>
      </c>
      <c r="K11" s="30"/>
      <c r="L11" s="30"/>
      <c r="M11" s="31"/>
      <c r="N11" s="390" t="s">
        <v>1490</v>
      </c>
    </row>
    <row r="12" spans="1:15" ht="60.75" customHeight="1">
      <c r="A12" s="38" t="s">
        <v>29</v>
      </c>
      <c r="B12" s="39" t="s">
        <v>30</v>
      </c>
      <c r="C12" s="40"/>
      <c r="D12" s="41"/>
      <c r="E12" s="41"/>
      <c r="F12" s="23" t="s">
        <v>1258</v>
      </c>
      <c r="G12" s="42">
        <f t="shared" si="0"/>
        <v>1</v>
      </c>
      <c r="H12" s="557"/>
      <c r="I12" s="247" t="s">
        <v>1487</v>
      </c>
      <c r="J12" s="30" t="s">
        <v>1956</v>
      </c>
      <c r="K12" s="30"/>
      <c r="L12" s="30"/>
      <c r="M12" s="31"/>
      <c r="N12" s="390" t="s">
        <v>1491</v>
      </c>
    </row>
    <row r="13" spans="1:15" ht="63.75" customHeight="1">
      <c r="A13" s="38" t="s">
        <v>31</v>
      </c>
      <c r="B13" s="39" t="s">
        <v>32</v>
      </c>
      <c r="C13" s="40"/>
      <c r="D13" s="41"/>
      <c r="E13" s="41"/>
      <c r="F13" s="23" t="s">
        <v>1258</v>
      </c>
      <c r="G13" s="42">
        <f t="shared" si="0"/>
        <v>1</v>
      </c>
      <c r="H13" s="557"/>
      <c r="I13" s="248" t="s">
        <v>1488</v>
      </c>
      <c r="J13" s="30" t="s">
        <v>1956</v>
      </c>
      <c r="K13" s="30"/>
      <c r="L13" s="30"/>
      <c r="M13" s="31"/>
      <c r="N13" s="390" t="s">
        <v>1492</v>
      </c>
    </row>
    <row r="14" spans="1:15" ht="21" customHeight="1">
      <c r="A14" s="32" t="s">
        <v>33</v>
      </c>
      <c r="B14" s="33" t="s">
        <v>34</v>
      </c>
      <c r="C14" s="34" t="e">
        <f>VLOOKUP($B$3,[1]QATC01!$B$2:$AG$34,11,FALSE)</f>
        <v>#N/A</v>
      </c>
      <c r="D14" s="35"/>
      <c r="E14" s="35"/>
      <c r="F14" s="37"/>
      <c r="G14" s="36">
        <f>IF(COUNTIF(F15:F20,"Não se aplica")&gt;=2,"Não se aplica",IF(COUNTIF(F15:F20,"Sem classificação")&gt;=2,"Sem classificação",IF(COUNTIF(F15:F20,"Atende")=6,4,IF(COUNTIF(F15:F20,"Atende")&gt;=5,3,IF(COUNTIF(F15:F20,"Atende")&gt;=3,2,IF(COUNTIF(F15:F20,"Atende")&gt;=1,1,0))))))</f>
        <v>2</v>
      </c>
      <c r="H14" s="37"/>
      <c r="I14" s="45"/>
      <c r="J14" s="37"/>
      <c r="K14" s="37"/>
      <c r="L14" s="37"/>
      <c r="M14" s="37"/>
      <c r="N14" s="2"/>
    </row>
    <row r="15" spans="1:15" ht="53.25" customHeight="1">
      <c r="A15" s="38" t="s">
        <v>39</v>
      </c>
      <c r="B15" s="39" t="s">
        <v>40</v>
      </c>
      <c r="C15" s="40"/>
      <c r="D15" s="41"/>
      <c r="E15" s="41"/>
      <c r="F15" s="23" t="s">
        <v>1258</v>
      </c>
      <c r="G15" s="42">
        <f t="shared" ref="G15:G20" si="1">IF(F15="Atende",1,0)</f>
        <v>1</v>
      </c>
      <c r="H15" s="558" t="s">
        <v>41</v>
      </c>
      <c r="I15" s="249" t="s">
        <v>1493</v>
      </c>
      <c r="J15" s="30" t="s">
        <v>1956</v>
      </c>
      <c r="K15" s="30"/>
      <c r="L15" s="30"/>
      <c r="M15" s="31"/>
      <c r="N15" s="376" t="s">
        <v>1640</v>
      </c>
    </row>
    <row r="16" spans="1:15" ht="52.5" customHeight="1">
      <c r="A16" s="38" t="s">
        <v>44</v>
      </c>
      <c r="B16" s="39" t="s">
        <v>45</v>
      </c>
      <c r="C16" s="40"/>
      <c r="D16" s="41"/>
      <c r="E16" s="41"/>
      <c r="F16" s="23" t="s">
        <v>1258</v>
      </c>
      <c r="G16" s="42">
        <f t="shared" si="1"/>
        <v>1</v>
      </c>
      <c r="H16" s="557"/>
      <c r="I16" s="249" t="s">
        <v>1494</v>
      </c>
      <c r="J16" s="30" t="s">
        <v>1956</v>
      </c>
      <c r="K16" s="30"/>
      <c r="L16" s="30"/>
      <c r="M16" s="31"/>
      <c r="N16" s="376" t="s">
        <v>1640</v>
      </c>
    </row>
    <row r="17" spans="1:14" ht="39.75" customHeight="1">
      <c r="A17" s="38" t="s">
        <v>47</v>
      </c>
      <c r="B17" s="39" t="s">
        <v>48</v>
      </c>
      <c r="C17" s="40"/>
      <c r="D17" s="41"/>
      <c r="E17" s="41"/>
      <c r="F17" s="23"/>
      <c r="G17" s="42">
        <f t="shared" si="1"/>
        <v>0</v>
      </c>
      <c r="H17" s="557"/>
      <c r="I17" s="252" t="s">
        <v>1495</v>
      </c>
      <c r="J17" s="30"/>
      <c r="K17" s="30"/>
      <c r="L17" s="30"/>
      <c r="M17" s="31"/>
      <c r="N17" s="376" t="s">
        <v>1640</v>
      </c>
    </row>
    <row r="18" spans="1:14" ht="63.75" customHeight="1">
      <c r="A18" s="38" t="s">
        <v>49</v>
      </c>
      <c r="B18" s="39" t="s">
        <v>51</v>
      </c>
      <c r="C18" s="40"/>
      <c r="D18" s="41"/>
      <c r="E18" s="41"/>
      <c r="F18" s="23"/>
      <c r="G18" s="42">
        <f t="shared" si="1"/>
        <v>0</v>
      </c>
      <c r="H18" s="557"/>
      <c r="I18" s="251" t="s">
        <v>1496</v>
      </c>
      <c r="J18" s="30"/>
      <c r="K18" s="30"/>
      <c r="L18" s="30"/>
      <c r="M18" s="31"/>
      <c r="N18" s="376" t="s">
        <v>1640</v>
      </c>
    </row>
    <row r="19" spans="1:14" ht="44.25" customHeight="1">
      <c r="A19" s="47" t="s">
        <v>52</v>
      </c>
      <c r="B19" s="39" t="s">
        <v>53</v>
      </c>
      <c r="C19" s="40"/>
      <c r="D19" s="41"/>
      <c r="E19" s="41"/>
      <c r="F19" s="23" t="s">
        <v>1258</v>
      </c>
      <c r="G19" s="42">
        <f t="shared" si="1"/>
        <v>1</v>
      </c>
      <c r="H19" s="557"/>
      <c r="I19" s="250" t="s">
        <v>1497</v>
      </c>
      <c r="J19" s="30" t="s">
        <v>1956</v>
      </c>
      <c r="K19" s="30"/>
      <c r="L19" s="30"/>
      <c r="M19" s="31"/>
      <c r="N19" s="376" t="s">
        <v>1640</v>
      </c>
    </row>
    <row r="20" spans="1:14" ht="31.5" customHeight="1">
      <c r="A20" s="47" t="s">
        <v>54</v>
      </c>
      <c r="B20" s="39" t="s">
        <v>55</v>
      </c>
      <c r="C20" s="40"/>
      <c r="D20" s="41"/>
      <c r="E20" s="41"/>
      <c r="F20" s="23" t="s">
        <v>1258</v>
      </c>
      <c r="G20" s="42">
        <f t="shared" si="1"/>
        <v>1</v>
      </c>
      <c r="H20" s="557"/>
      <c r="I20" s="540" t="s">
        <v>1433</v>
      </c>
      <c r="J20" s="30" t="s">
        <v>1956</v>
      </c>
      <c r="K20" s="30"/>
      <c r="L20" s="30"/>
      <c r="M20" s="31"/>
      <c r="N20" s="376" t="s">
        <v>1640</v>
      </c>
    </row>
    <row r="21" spans="1:14" ht="24" customHeight="1">
      <c r="A21" s="48" t="s">
        <v>56</v>
      </c>
      <c r="B21" s="33" t="s">
        <v>58</v>
      </c>
      <c r="C21" s="34" t="e">
        <f>VLOOKUP($B$3,[1]QATC01!$B$2:$AG$34,24,FALSE)</f>
        <v>#N/A</v>
      </c>
      <c r="D21" s="35"/>
      <c r="E21" s="35"/>
      <c r="F21" s="34"/>
      <c r="G21" s="36">
        <f>IF(COUNTIF(F22:F25,"Não se aplica")&gt;=2,"Não se aplica",IF(COUNTIF(F22:F25,"Sem classificação")&gt;=2,"Sem classificação",IF(COUNTIF(F22:F25,"Atende")=4,4,IF(COUNTIF(F22:F25,"Atende")=3,3,IF(COUNTIF(F22:F25,"Atende")=2,2,IF(COUNTIF(F22:F25,"Atende")=1,1,0))))))</f>
        <v>4</v>
      </c>
      <c r="H21" s="37"/>
      <c r="I21" s="50"/>
      <c r="J21" s="37"/>
      <c r="K21" s="37"/>
      <c r="L21" s="37"/>
      <c r="M21" s="37"/>
      <c r="N21" s="2"/>
    </row>
    <row r="22" spans="1:14" ht="26.25" customHeight="1">
      <c r="A22" s="47" t="s">
        <v>59</v>
      </c>
      <c r="B22" s="39" t="s">
        <v>60</v>
      </c>
      <c r="C22" s="40"/>
      <c r="D22" s="41"/>
      <c r="E22" s="41"/>
      <c r="F22" s="23" t="s">
        <v>1258</v>
      </c>
      <c r="G22" s="42">
        <f t="shared" ref="G22:G25" si="2">IF(F22="Atende",1,0)</f>
        <v>1</v>
      </c>
      <c r="H22" s="558" t="s">
        <v>62</v>
      </c>
      <c r="I22" s="253" t="s">
        <v>1498</v>
      </c>
      <c r="J22" s="30" t="s">
        <v>1956</v>
      </c>
      <c r="K22" s="30"/>
      <c r="L22" s="30"/>
      <c r="M22" s="31"/>
      <c r="N22" s="376" t="s">
        <v>1656</v>
      </c>
    </row>
    <row r="23" spans="1:14" ht="35.25" customHeight="1">
      <c r="A23" s="47" t="s">
        <v>63</v>
      </c>
      <c r="B23" s="39" t="s">
        <v>64</v>
      </c>
      <c r="C23" s="40"/>
      <c r="D23" s="41"/>
      <c r="E23" s="41"/>
      <c r="F23" s="23" t="s">
        <v>1258</v>
      </c>
      <c r="G23" s="42">
        <f t="shared" si="2"/>
        <v>1</v>
      </c>
      <c r="H23" s="557"/>
      <c r="I23" s="367" t="s">
        <v>1655</v>
      </c>
      <c r="J23" s="30" t="s">
        <v>1956</v>
      </c>
      <c r="K23" s="30"/>
      <c r="L23" s="30"/>
      <c r="M23" s="31"/>
      <c r="N23" s="397" t="s">
        <v>1499</v>
      </c>
    </row>
    <row r="24" spans="1:14" ht="23.25" customHeight="1">
      <c r="A24" s="47" t="s">
        <v>65</v>
      </c>
      <c r="B24" s="39" t="s">
        <v>66</v>
      </c>
      <c r="C24" s="40"/>
      <c r="D24" s="41"/>
      <c r="E24" s="41"/>
      <c r="F24" s="23" t="s">
        <v>1258</v>
      </c>
      <c r="G24" s="42">
        <f t="shared" si="2"/>
        <v>1</v>
      </c>
      <c r="H24" s="557"/>
      <c r="I24" s="254" t="s">
        <v>1500</v>
      </c>
      <c r="J24" s="30" t="s">
        <v>1956</v>
      </c>
      <c r="K24" s="30"/>
      <c r="L24" s="30"/>
      <c r="M24" s="31"/>
      <c r="N24" s="2"/>
    </row>
    <row r="25" spans="1:14" ht="30.75" customHeight="1">
      <c r="A25" s="47" t="s">
        <v>65</v>
      </c>
      <c r="B25" s="39" t="s">
        <v>67</v>
      </c>
      <c r="C25" s="40"/>
      <c r="D25" s="41"/>
      <c r="E25" s="41"/>
      <c r="F25" s="23" t="s">
        <v>1258</v>
      </c>
      <c r="G25" s="42">
        <f t="shared" si="2"/>
        <v>1</v>
      </c>
      <c r="H25" s="557"/>
      <c r="I25" s="253" t="s">
        <v>1501</v>
      </c>
      <c r="J25" s="30" t="s">
        <v>1956</v>
      </c>
      <c r="K25" s="30"/>
      <c r="L25" s="30"/>
      <c r="M25" s="31"/>
      <c r="N25" s="376" t="s">
        <v>1640</v>
      </c>
    </row>
    <row r="26" spans="1:14" ht="27" customHeight="1">
      <c r="A26" s="550" t="s">
        <v>68</v>
      </c>
      <c r="B26" s="551"/>
      <c r="C26" s="46"/>
      <c r="D26" s="51"/>
      <c r="E26" s="51"/>
      <c r="F26" s="46"/>
      <c r="G26" s="46"/>
      <c r="H26" s="46"/>
      <c r="I26" s="46"/>
      <c r="J26" s="46"/>
      <c r="K26" s="46"/>
      <c r="L26" s="46"/>
      <c r="M26" s="46"/>
      <c r="N26" s="2"/>
    </row>
    <row r="27" spans="1:14" ht="27.75" customHeight="1">
      <c r="A27" s="15" t="s">
        <v>69</v>
      </c>
      <c r="B27" s="52" t="s">
        <v>70</v>
      </c>
      <c r="C27" s="13"/>
      <c r="D27" s="53"/>
      <c r="E27" s="17">
        <f>SUM(G29,G34,G40,G49)</f>
        <v>15</v>
      </c>
      <c r="F27" s="18"/>
      <c r="G27" s="19" t="str">
        <f>IF(H27&gt;=2,"Não se aplica",IF(I27&gt;=2,"Sem classificação",IF(F27=4,IF(E27&lt;=2,0,IF(E27&lt;=6,1,IF(E27&lt;=10,2,IF(E27&lt;=14,3,4)))),IF(F27=3,ROUND(AVERAGE(G29,G34,G40,G49),0),IF(F27=2,ROUNDDOWN(AVERAGE(G29,G34,G40,G49),0),"Não se aplica")))))</f>
        <v>Não se aplica</v>
      </c>
      <c r="H27" s="20">
        <f>COUNTIF(G29:G49,"Não se aplica")</f>
        <v>0</v>
      </c>
      <c r="I27" s="21"/>
      <c r="J27" s="22"/>
      <c r="K27" s="22"/>
      <c r="L27" s="22"/>
      <c r="M27" s="22"/>
      <c r="N27" s="2"/>
    </row>
    <row r="28" spans="1:14" ht="20.25" customHeight="1">
      <c r="A28" s="54" t="s">
        <v>18</v>
      </c>
      <c r="B28" s="55" t="s">
        <v>19</v>
      </c>
      <c r="C28" s="25"/>
      <c r="D28" s="26"/>
      <c r="E28" s="26"/>
      <c r="F28" s="56"/>
      <c r="G28" s="28"/>
      <c r="H28" s="29"/>
      <c r="I28" s="30"/>
      <c r="J28" s="30"/>
      <c r="K28" s="30"/>
      <c r="L28" s="30"/>
      <c r="M28" s="31"/>
      <c r="N28" s="2"/>
    </row>
    <row r="29" spans="1:14" ht="29.25" customHeight="1">
      <c r="A29" s="48" t="s">
        <v>76</v>
      </c>
      <c r="B29" s="33" t="s">
        <v>77</v>
      </c>
      <c r="C29" s="34" t="e">
        <f>VLOOKUP($B$3,[2]QATC02!$B$2:$AV$34,2,FALSE)</f>
        <v>#N/A</v>
      </c>
      <c r="D29" s="35"/>
      <c r="E29" s="35"/>
      <c r="F29" s="37"/>
      <c r="G29" s="36">
        <f>IF(COUNTIF(F30:F33,"Não se aplica")&gt;=2,"Não se aplica",IF(COUNTIF(F30:F33,"Sem classificação")&gt;=2,"Sem classificação",IF(COUNTIF(F30:F33,"Atende")=4,4,IF(COUNTIF(F30:F33,"Atende")&gt;=3,3,IF(COUNTIF(F30:F33,"Atende")&gt;=2,2,IF(COUNTIF(F30:F33,"Atende")&gt;=1,1,0))))))</f>
        <v>4</v>
      </c>
      <c r="H29" s="57"/>
      <c r="I29" s="37"/>
      <c r="J29" s="37"/>
      <c r="K29" s="37"/>
      <c r="L29" s="37"/>
      <c r="M29" s="37"/>
      <c r="N29" s="2"/>
    </row>
    <row r="30" spans="1:14" ht="23.25" customHeight="1">
      <c r="A30" s="47" t="s">
        <v>81</v>
      </c>
      <c r="B30" s="39" t="s">
        <v>82</v>
      </c>
      <c r="C30" s="40"/>
      <c r="D30" s="41"/>
      <c r="E30" s="41"/>
      <c r="F30" s="23" t="s">
        <v>1258</v>
      </c>
      <c r="G30" s="42">
        <f t="shared" ref="G30:G33" si="3">IF(F30="Atende",1,0)</f>
        <v>1</v>
      </c>
      <c r="H30" s="568" t="s">
        <v>84</v>
      </c>
      <c r="I30" s="255" t="s">
        <v>1658</v>
      </c>
      <c r="J30" s="58" t="s">
        <v>1956</v>
      </c>
      <c r="K30" s="30"/>
      <c r="L30" s="30"/>
      <c r="M30" s="31"/>
      <c r="N30" s="376" t="s">
        <v>1657</v>
      </c>
    </row>
    <row r="31" spans="1:14" ht="24.75" customHeight="1">
      <c r="A31" s="47" t="s">
        <v>96</v>
      </c>
      <c r="B31" s="39" t="s">
        <v>97</v>
      </c>
      <c r="C31" s="40"/>
      <c r="D31" s="41"/>
      <c r="E31" s="41"/>
      <c r="F31" s="23" t="s">
        <v>1258</v>
      </c>
      <c r="G31" s="42">
        <f t="shared" si="3"/>
        <v>1</v>
      </c>
      <c r="H31" s="557"/>
      <c r="I31" s="255" t="s">
        <v>1502</v>
      </c>
      <c r="J31" s="58" t="s">
        <v>1956</v>
      </c>
      <c r="K31" s="30"/>
      <c r="L31" s="30"/>
      <c r="M31" s="31"/>
      <c r="N31" s="376" t="s">
        <v>1659</v>
      </c>
    </row>
    <row r="32" spans="1:14" ht="33.75" customHeight="1">
      <c r="A32" s="47" t="s">
        <v>99</v>
      </c>
      <c r="B32" s="39" t="s">
        <v>100</v>
      </c>
      <c r="C32" s="40"/>
      <c r="D32" s="41"/>
      <c r="E32" s="41"/>
      <c r="F32" s="23" t="s">
        <v>1258</v>
      </c>
      <c r="G32" s="42">
        <f t="shared" si="3"/>
        <v>1</v>
      </c>
      <c r="H32" s="557"/>
      <c r="I32" s="255" t="s">
        <v>1503</v>
      </c>
      <c r="J32" s="58" t="s">
        <v>1956</v>
      </c>
      <c r="K32" s="30"/>
      <c r="L32" s="30"/>
      <c r="M32" s="31"/>
      <c r="N32" s="376" t="s">
        <v>1660</v>
      </c>
    </row>
    <row r="33" spans="1:14" ht="41.25" customHeight="1">
      <c r="A33" s="47" t="s">
        <v>101</v>
      </c>
      <c r="B33" s="39" t="s">
        <v>103</v>
      </c>
      <c r="C33" s="40"/>
      <c r="D33" s="41"/>
      <c r="E33" s="41"/>
      <c r="F33" s="23" t="s">
        <v>1258</v>
      </c>
      <c r="G33" s="42">
        <f t="shared" si="3"/>
        <v>1</v>
      </c>
      <c r="H33" s="557"/>
      <c r="I33" s="255" t="s">
        <v>1504</v>
      </c>
      <c r="J33" s="58" t="s">
        <v>1956</v>
      </c>
      <c r="K33" s="30"/>
      <c r="L33" s="30"/>
      <c r="M33" s="31"/>
      <c r="N33" s="376" t="s">
        <v>1661</v>
      </c>
    </row>
    <row r="34" spans="1:14" ht="23.25" customHeight="1">
      <c r="A34" s="48" t="s">
        <v>105</v>
      </c>
      <c r="B34" s="33" t="s">
        <v>106</v>
      </c>
      <c r="C34" s="34" t="e">
        <f>VLOOKUP($B$3,[2]QATC02!$B$2:$AV$34,11,FALSE)</f>
        <v>#N/A</v>
      </c>
      <c r="D34" s="35"/>
      <c r="E34" s="35"/>
      <c r="F34" s="37"/>
      <c r="G34" s="36">
        <f>IF(COUNTIF(F35:F39,"Não se aplica")&gt;=2,"Não se aplica",IF(COUNTIF(F35:F39,"Sem classificação")&gt;=2,"Sem classificação",IF(COUNTIF(F35:F39,"Atende")=5,4,IF(COUNTIF(F35:F39,"Atende")&gt;=4,3,IF(COUNTIF(F35:F39,"Atende")&gt;=2,2,IF(COUNTIF(F35:F39,"Atende")&gt;=1,1,0))))))</f>
        <v>4</v>
      </c>
      <c r="H34" s="57"/>
      <c r="I34" s="61"/>
      <c r="J34" s="61"/>
      <c r="K34" s="37"/>
      <c r="L34" s="37"/>
      <c r="M34" s="37"/>
      <c r="N34" s="2"/>
    </row>
    <row r="35" spans="1:14" ht="69" customHeight="1">
      <c r="A35" s="47" t="s">
        <v>114</v>
      </c>
      <c r="B35" s="39" t="s">
        <v>115</v>
      </c>
      <c r="C35" s="40"/>
      <c r="D35" s="41"/>
      <c r="E35" s="41"/>
      <c r="F35" s="23" t="s">
        <v>1258</v>
      </c>
      <c r="G35" s="42">
        <f t="shared" ref="G35:G39" si="4">IF(F35="Atende",1,0)</f>
        <v>1</v>
      </c>
      <c r="H35" s="560" t="s">
        <v>117</v>
      </c>
      <c r="I35" s="256" t="s">
        <v>1651</v>
      </c>
      <c r="J35" s="58" t="s">
        <v>1956</v>
      </c>
      <c r="K35" s="30"/>
      <c r="L35" s="30"/>
      <c r="M35" s="31"/>
      <c r="N35" s="376" t="s">
        <v>1662</v>
      </c>
    </row>
    <row r="36" spans="1:14" ht="40.5" customHeight="1">
      <c r="A36" s="47" t="s">
        <v>120</v>
      </c>
      <c r="B36" s="39" t="s">
        <v>122</v>
      </c>
      <c r="C36" s="40"/>
      <c r="D36" s="41"/>
      <c r="E36" s="41"/>
      <c r="F36" s="23" t="s">
        <v>1258</v>
      </c>
      <c r="G36" s="42">
        <f t="shared" si="4"/>
        <v>1</v>
      </c>
      <c r="H36" s="557"/>
      <c r="I36" s="256" t="s">
        <v>1652</v>
      </c>
      <c r="J36" s="58" t="s">
        <v>1956</v>
      </c>
      <c r="K36" s="30"/>
      <c r="L36" s="30"/>
      <c r="M36" s="31"/>
      <c r="N36" s="376" t="s">
        <v>1663</v>
      </c>
    </row>
    <row r="37" spans="1:14" ht="45.75" customHeight="1">
      <c r="A37" s="47" t="s">
        <v>124</v>
      </c>
      <c r="B37" s="39" t="s">
        <v>125</v>
      </c>
      <c r="C37" s="40"/>
      <c r="D37" s="41"/>
      <c r="E37" s="41"/>
      <c r="F37" s="23" t="s">
        <v>1258</v>
      </c>
      <c r="G37" s="42">
        <f t="shared" si="4"/>
        <v>1</v>
      </c>
      <c r="H37" s="557"/>
      <c r="I37" s="257" t="s">
        <v>1650</v>
      </c>
      <c r="J37" s="58" t="s">
        <v>1956</v>
      </c>
      <c r="K37" s="30"/>
      <c r="L37" s="30"/>
      <c r="M37" s="31"/>
      <c r="N37" s="376" t="s">
        <v>1664</v>
      </c>
    </row>
    <row r="38" spans="1:14" ht="66.75" customHeight="1">
      <c r="A38" s="47" t="s">
        <v>129</v>
      </c>
      <c r="B38" s="39" t="s">
        <v>130</v>
      </c>
      <c r="C38" s="40"/>
      <c r="D38" s="41"/>
      <c r="E38" s="41"/>
      <c r="F38" s="23" t="s">
        <v>1258</v>
      </c>
      <c r="G38" s="42">
        <f t="shared" si="4"/>
        <v>1</v>
      </c>
      <c r="H38" s="557"/>
      <c r="I38" s="256" t="s">
        <v>1653</v>
      </c>
      <c r="J38" s="58" t="s">
        <v>1956</v>
      </c>
      <c r="K38" s="30"/>
      <c r="L38" s="30"/>
      <c r="M38" s="31"/>
      <c r="N38" s="376" t="s">
        <v>1665</v>
      </c>
    </row>
    <row r="39" spans="1:14" ht="29.25" customHeight="1">
      <c r="A39" s="47" t="s">
        <v>132</v>
      </c>
      <c r="B39" s="39" t="s">
        <v>133</v>
      </c>
      <c r="C39" s="40"/>
      <c r="D39" s="41"/>
      <c r="E39" s="41"/>
      <c r="F39" s="23" t="s">
        <v>1258</v>
      </c>
      <c r="G39" s="42">
        <f t="shared" si="4"/>
        <v>1</v>
      </c>
      <c r="H39" s="557"/>
      <c r="I39" s="256" t="s">
        <v>1654</v>
      </c>
      <c r="J39" s="58" t="s">
        <v>1956</v>
      </c>
      <c r="K39" s="30"/>
      <c r="L39" s="30"/>
      <c r="M39" s="31"/>
      <c r="N39" s="376" t="s">
        <v>1666</v>
      </c>
    </row>
    <row r="40" spans="1:14" ht="30.75" customHeight="1">
      <c r="A40" s="48" t="s">
        <v>134</v>
      </c>
      <c r="B40" s="33" t="s">
        <v>135</v>
      </c>
      <c r="C40" s="34" t="e">
        <f>VLOOKUP($B$3,[2]QATC02!$B$2:$AV$34,22,FALSE)</f>
        <v>#N/A</v>
      </c>
      <c r="D40" s="35"/>
      <c r="E40" s="35"/>
      <c r="F40" s="37"/>
      <c r="G40" s="36">
        <f>IF(COUNTIF(F41:F48,"Não se aplica")&gt;=2,"Não se aplica",IF(COUNTIF(F41:F48,"Sem classificação")&gt;=2,"Sem classificação",IF(COUNTIF(F41:F48,"Atende")=8,4,IF(COUNTIF(F41:F48,"Atende")&gt;=6,3,IF(COUNTIF(F41:F48,"Atende")&gt;=4,2,IF(COUNTIF(F41:F48,"Atende")&gt;=2,1,0))))))</f>
        <v>4</v>
      </c>
      <c r="H40" s="69">
        <f>IF(ISTEXT(G40),0,G40)</f>
        <v>4</v>
      </c>
      <c r="I40" s="37"/>
      <c r="J40" s="37"/>
      <c r="K40" s="37"/>
      <c r="L40" s="37"/>
      <c r="M40" s="37"/>
      <c r="N40" s="2"/>
    </row>
    <row r="41" spans="1:14" ht="94.5" customHeight="1">
      <c r="A41" s="47" t="s">
        <v>143</v>
      </c>
      <c r="B41" s="39" t="s">
        <v>144</v>
      </c>
      <c r="C41" s="40"/>
      <c r="D41" s="41"/>
      <c r="E41" s="41"/>
      <c r="F41" s="23" t="s">
        <v>1258</v>
      </c>
      <c r="G41" s="42">
        <f t="shared" ref="G41:G48" si="5">IF(F41="Atende",1,0)</f>
        <v>1</v>
      </c>
      <c r="H41" s="561" t="s">
        <v>146</v>
      </c>
      <c r="I41" s="258" t="s">
        <v>1505</v>
      </c>
      <c r="J41" s="30" t="s">
        <v>1956</v>
      </c>
      <c r="K41" s="30"/>
      <c r="L41" s="30"/>
      <c r="M41" s="31"/>
      <c r="N41" s="376" t="s">
        <v>1667</v>
      </c>
    </row>
    <row r="42" spans="1:14" ht="91.5" customHeight="1">
      <c r="A42" s="47" t="s">
        <v>149</v>
      </c>
      <c r="B42" s="39" t="s">
        <v>150</v>
      </c>
      <c r="C42" s="40"/>
      <c r="D42" s="41"/>
      <c r="E42" s="41"/>
      <c r="F42" s="23" t="s">
        <v>1258</v>
      </c>
      <c r="G42" s="42">
        <f t="shared" si="5"/>
        <v>1</v>
      </c>
      <c r="H42" s="557"/>
      <c r="I42" s="258" t="s">
        <v>1506</v>
      </c>
      <c r="J42" s="30" t="s">
        <v>1956</v>
      </c>
      <c r="K42" s="30"/>
      <c r="L42" s="30"/>
      <c r="M42" s="31"/>
      <c r="N42" s="376" t="s">
        <v>1668</v>
      </c>
    </row>
    <row r="43" spans="1:14" ht="93" customHeight="1">
      <c r="A43" s="47" t="s">
        <v>153</v>
      </c>
      <c r="B43" s="39" t="s">
        <v>154</v>
      </c>
      <c r="C43" s="40"/>
      <c r="D43" s="41"/>
      <c r="E43" s="41"/>
      <c r="F43" s="23" t="s">
        <v>1258</v>
      </c>
      <c r="G43" s="42">
        <f t="shared" si="5"/>
        <v>1</v>
      </c>
      <c r="H43" s="557"/>
      <c r="I43" s="258" t="s">
        <v>1757</v>
      </c>
      <c r="J43" s="30" t="s">
        <v>1956</v>
      </c>
      <c r="K43" s="30"/>
      <c r="L43" s="30"/>
      <c r="M43" s="31"/>
      <c r="N43" s="376" t="s">
        <v>1669</v>
      </c>
    </row>
    <row r="44" spans="1:14" ht="45" customHeight="1">
      <c r="A44" s="47" t="s">
        <v>155</v>
      </c>
      <c r="B44" s="39" t="s">
        <v>156</v>
      </c>
      <c r="C44" s="40"/>
      <c r="D44" s="41"/>
      <c r="E44" s="41"/>
      <c r="F44" s="23" t="s">
        <v>1258</v>
      </c>
      <c r="G44" s="42">
        <f t="shared" si="5"/>
        <v>1</v>
      </c>
      <c r="H44" s="557"/>
      <c r="I44" s="258" t="s">
        <v>1507</v>
      </c>
      <c r="J44" s="30" t="s">
        <v>1956</v>
      </c>
      <c r="K44" s="30"/>
      <c r="L44" s="30"/>
      <c r="M44" s="31"/>
      <c r="N44" s="376" t="s">
        <v>1670</v>
      </c>
    </row>
    <row r="45" spans="1:14" ht="57" customHeight="1">
      <c r="A45" s="47" t="s">
        <v>158</v>
      </c>
      <c r="B45" s="39" t="s">
        <v>159</v>
      </c>
      <c r="C45" s="40"/>
      <c r="D45" s="41"/>
      <c r="E45" s="41"/>
      <c r="F45" s="23" t="s">
        <v>1258</v>
      </c>
      <c r="G45" s="42">
        <f t="shared" si="5"/>
        <v>1</v>
      </c>
      <c r="H45" s="557"/>
      <c r="I45" s="258" t="s">
        <v>1508</v>
      </c>
      <c r="J45" s="30" t="s">
        <v>1956</v>
      </c>
      <c r="K45" s="30"/>
      <c r="L45" s="30"/>
      <c r="M45" s="31"/>
      <c r="N45" s="376" t="s">
        <v>1671</v>
      </c>
    </row>
    <row r="46" spans="1:14" ht="42.75" customHeight="1">
      <c r="A46" s="47" t="s">
        <v>160</v>
      </c>
      <c r="B46" s="39" t="s">
        <v>161</v>
      </c>
      <c r="C46" s="40"/>
      <c r="D46" s="41"/>
      <c r="E46" s="41"/>
      <c r="F46" s="23" t="s">
        <v>1258</v>
      </c>
      <c r="G46" s="42">
        <f t="shared" si="5"/>
        <v>1</v>
      </c>
      <c r="H46" s="557"/>
      <c r="I46" s="258" t="s">
        <v>1947</v>
      </c>
      <c r="J46" s="30" t="s">
        <v>1956</v>
      </c>
      <c r="K46" s="30"/>
      <c r="L46" s="30"/>
      <c r="M46" s="31"/>
      <c r="N46" s="376" t="s">
        <v>1672</v>
      </c>
    </row>
    <row r="47" spans="1:14" ht="19.5" customHeight="1">
      <c r="A47" s="47" t="s">
        <v>163</v>
      </c>
      <c r="B47" s="39" t="s">
        <v>164</v>
      </c>
      <c r="C47" s="40"/>
      <c r="D47" s="41"/>
      <c r="E47" s="41"/>
      <c r="F47" s="23" t="s">
        <v>1258</v>
      </c>
      <c r="G47" s="42">
        <f t="shared" si="5"/>
        <v>1</v>
      </c>
      <c r="H47" s="557"/>
      <c r="I47" s="258" t="s">
        <v>1509</v>
      </c>
      <c r="J47" s="30" t="s">
        <v>1956</v>
      </c>
      <c r="K47" s="30"/>
      <c r="L47" s="30"/>
      <c r="M47" s="31"/>
      <c r="N47" s="376" t="s">
        <v>1673</v>
      </c>
    </row>
    <row r="48" spans="1:14" ht="22.5" customHeight="1">
      <c r="A48" s="47" t="s">
        <v>166</v>
      </c>
      <c r="B48" s="39" t="s">
        <v>167</v>
      </c>
      <c r="C48" s="40"/>
      <c r="D48" s="41"/>
      <c r="E48" s="41"/>
      <c r="F48" s="23" t="s">
        <v>1258</v>
      </c>
      <c r="G48" s="42">
        <f t="shared" si="5"/>
        <v>1</v>
      </c>
      <c r="H48" s="557"/>
      <c r="I48" s="258" t="s">
        <v>1510</v>
      </c>
      <c r="J48" s="30" t="s">
        <v>1956</v>
      </c>
      <c r="K48" s="30"/>
      <c r="L48" s="30"/>
      <c r="M48" s="31"/>
      <c r="N48" s="2"/>
    </row>
    <row r="49" spans="1:14" ht="28.5" customHeight="1">
      <c r="A49" s="48" t="s">
        <v>170</v>
      </c>
      <c r="B49" s="33" t="s">
        <v>171</v>
      </c>
      <c r="C49" s="34" t="e">
        <f>VLOOKUP($B$3,[2]QATC02!$B$2:$AV$34,39,FALSE)</f>
        <v>#N/A</v>
      </c>
      <c r="D49" s="35"/>
      <c r="E49" s="35"/>
      <c r="F49" s="37"/>
      <c r="G49" s="36">
        <f>IF(COUNTIF(F50:F53,"Não se aplica")&gt;=2,"Não se aplica",IF(COUNTIF(F50:F53,"Sem classificação")&gt;=2,"Sem classificação",IF(COUNTIF(F50:F53,"Atende")=4,4,IF(COUNTIF(F50:F53,"Atende")&gt;=3,3,IF(COUNTIF(F50:F53,"Atende")&gt;=2,2,IF(COUNTIF(F50:F53,"Atende")&gt;=1,1,0))))))</f>
        <v>3</v>
      </c>
      <c r="H49" s="69">
        <f>IF(ISTEXT(G49),0,G49)</f>
        <v>3</v>
      </c>
      <c r="I49" s="76"/>
      <c r="J49" s="37"/>
      <c r="K49" s="37"/>
      <c r="L49" s="37"/>
      <c r="M49" s="37"/>
      <c r="N49" s="2"/>
    </row>
    <row r="50" spans="1:14" ht="102.75" customHeight="1">
      <c r="A50" s="47" t="s">
        <v>180</v>
      </c>
      <c r="B50" s="39" t="s">
        <v>181</v>
      </c>
      <c r="C50" s="40"/>
      <c r="D50" s="41"/>
      <c r="E50" s="41"/>
      <c r="F50" s="23" t="s">
        <v>1258</v>
      </c>
      <c r="G50" s="42">
        <f t="shared" ref="G50:G53" si="6">IF(F50="Atende",1,0)</f>
        <v>1</v>
      </c>
      <c r="H50" s="558" t="s">
        <v>183</v>
      </c>
      <c r="I50" s="259" t="s">
        <v>1957</v>
      </c>
      <c r="J50" s="30" t="s">
        <v>1956</v>
      </c>
      <c r="K50" s="30"/>
      <c r="L50" s="30"/>
      <c r="M50" s="31"/>
      <c r="N50" s="376" t="s">
        <v>1674</v>
      </c>
    </row>
    <row r="51" spans="1:14" ht="72" customHeight="1">
      <c r="A51" s="47" t="s">
        <v>185</v>
      </c>
      <c r="B51" s="39" t="s">
        <v>186</v>
      </c>
      <c r="C51" s="40"/>
      <c r="D51" s="41"/>
      <c r="E51" s="41"/>
      <c r="F51" s="23" t="s">
        <v>1258</v>
      </c>
      <c r="G51" s="42">
        <f t="shared" si="6"/>
        <v>1</v>
      </c>
      <c r="H51" s="557"/>
      <c r="I51" s="259" t="s">
        <v>1511</v>
      </c>
      <c r="J51" s="30" t="s">
        <v>1956</v>
      </c>
      <c r="K51" s="30"/>
      <c r="L51" s="30"/>
      <c r="M51" s="31"/>
      <c r="N51" s="376" t="s">
        <v>1675</v>
      </c>
    </row>
    <row r="52" spans="1:14" ht="54" customHeight="1">
      <c r="A52" s="47" t="s">
        <v>188</v>
      </c>
      <c r="B52" s="39" t="s">
        <v>189</v>
      </c>
      <c r="C52" s="40"/>
      <c r="D52" s="41"/>
      <c r="E52" s="41"/>
      <c r="F52" s="23" t="s">
        <v>1258</v>
      </c>
      <c r="G52" s="42">
        <f t="shared" si="6"/>
        <v>1</v>
      </c>
      <c r="H52" s="557"/>
      <c r="I52" s="259" t="s">
        <v>1512</v>
      </c>
      <c r="J52" s="30" t="s">
        <v>1956</v>
      </c>
      <c r="K52" s="30"/>
      <c r="L52" s="30"/>
      <c r="M52" s="31"/>
      <c r="N52" s="376" t="s">
        <v>1676</v>
      </c>
    </row>
    <row r="53" spans="1:14" ht="78" customHeight="1">
      <c r="A53" s="47" t="s">
        <v>192</v>
      </c>
      <c r="B53" s="39" t="s">
        <v>193</v>
      </c>
      <c r="C53" s="40"/>
      <c r="D53" s="41"/>
      <c r="E53" s="41"/>
      <c r="F53" s="23"/>
      <c r="G53" s="42">
        <f t="shared" si="6"/>
        <v>0</v>
      </c>
      <c r="H53" s="557"/>
      <c r="I53" s="172" t="s">
        <v>1758</v>
      </c>
      <c r="J53" s="30"/>
      <c r="K53" s="30"/>
      <c r="L53" s="30"/>
      <c r="M53" s="31"/>
      <c r="N53" s="2"/>
    </row>
    <row r="54" spans="1:14" ht="29.25" customHeight="1">
      <c r="A54" s="550" t="s">
        <v>195</v>
      </c>
      <c r="B54" s="551"/>
      <c r="C54" s="46"/>
      <c r="D54" s="51"/>
      <c r="E54" s="51"/>
      <c r="F54" s="46"/>
      <c r="G54" s="46"/>
      <c r="H54" s="46"/>
      <c r="I54" s="79"/>
      <c r="J54" s="46"/>
      <c r="K54" s="46"/>
      <c r="L54" s="46"/>
      <c r="M54" s="46"/>
      <c r="N54" s="2"/>
    </row>
    <row r="55" spans="1:14" ht="24.75" customHeight="1">
      <c r="A55" s="15" t="s">
        <v>199</v>
      </c>
      <c r="B55" s="52" t="s">
        <v>200</v>
      </c>
      <c r="C55" s="13"/>
      <c r="D55" s="53"/>
      <c r="E55" s="17">
        <f>SUM(G57,G62)</f>
        <v>3</v>
      </c>
      <c r="F55" s="18"/>
      <c r="G55" s="19" t="str">
        <f>IF(H55&gt;=2,"Não se aplica",IF(I55&gt;=2,"Sem classificação",IF(F55=4,IF(E55&lt;=2,0,IF(E55&lt;=6,1,IF(E55&lt;=10,2,IF(E55&lt;=14,3,4)))),IF(F55=3,ROUND(AVERAGE(G57,G62),0),IF(F55=2,ROUNDDOWN(AVERAGE(G57,G62),0),"Não se aplica")))))</f>
        <v>Não se aplica</v>
      </c>
      <c r="H55" s="20">
        <f>COUNTIF(G57:G62,"Não se aplica")</f>
        <v>0</v>
      </c>
      <c r="I55" s="21"/>
      <c r="J55" s="22"/>
      <c r="K55" s="22"/>
      <c r="L55" s="22"/>
      <c r="M55" s="22"/>
      <c r="N55" s="2"/>
    </row>
    <row r="56" spans="1:14" ht="22.5" customHeight="1">
      <c r="A56" s="54" t="s">
        <v>18</v>
      </c>
      <c r="B56" s="55" t="s">
        <v>19</v>
      </c>
      <c r="C56" s="25"/>
      <c r="D56" s="26"/>
      <c r="E56" s="26"/>
      <c r="F56" s="27"/>
      <c r="G56" s="28"/>
      <c r="H56" s="29"/>
      <c r="I56" s="58"/>
      <c r="J56" s="30"/>
      <c r="K56" s="30"/>
      <c r="L56" s="30"/>
      <c r="M56" s="31"/>
      <c r="N56" s="2"/>
    </row>
    <row r="57" spans="1:14" ht="23.25" customHeight="1">
      <c r="A57" s="48" t="s">
        <v>208</v>
      </c>
      <c r="B57" s="33" t="s">
        <v>209</v>
      </c>
      <c r="C57" s="34" t="e">
        <f>VLOOKUP($B$3,[3]QATC03!$B$2:$T$34,2,FALSE)</f>
        <v>#N/A</v>
      </c>
      <c r="D57" s="35"/>
      <c r="E57" s="35"/>
      <c r="F57" s="34"/>
      <c r="G57" s="36">
        <f>IF(COUNTIF(F58:F61,"Não se aplica")&gt;=2,"Não se aplica",IF(COUNTIF(F58:F61,"Sem classificação")&gt;=2,"Sem classificação",IF(COUNTIF(F58:F61,"Atende")=4,4,IF(COUNTIF(F58:F61,"Atende")&gt;=3,3,IF(COUNTIF(F58:F61,"Atende")&gt;=2,2,IF(COUNTIF(F58:F61,"Atende")&gt;=1,1,0))))))</f>
        <v>0</v>
      </c>
      <c r="H57" s="57"/>
      <c r="I57" s="61"/>
      <c r="J57" s="37"/>
      <c r="K57" s="37"/>
      <c r="L57" s="37"/>
      <c r="M57" s="37"/>
      <c r="N57" s="2"/>
    </row>
    <row r="58" spans="1:14" ht="36.75" customHeight="1">
      <c r="A58" s="47" t="s">
        <v>212</v>
      </c>
      <c r="B58" s="39" t="s">
        <v>213</v>
      </c>
      <c r="C58" s="40"/>
      <c r="D58" s="41"/>
      <c r="E58" s="41"/>
      <c r="F58" s="23"/>
      <c r="G58" s="42">
        <f t="shared" ref="G58:G61" si="7">IF(F58="Atende",1,0)</f>
        <v>0</v>
      </c>
      <c r="H58" s="561" t="s">
        <v>84</v>
      </c>
      <c r="I58" s="39"/>
      <c r="J58" s="30"/>
      <c r="K58" s="30"/>
      <c r="L58" s="30"/>
      <c r="M58" s="31"/>
      <c r="N58" s="2"/>
    </row>
    <row r="59" spans="1:14" ht="31.5" customHeight="1">
      <c r="A59" s="47" t="s">
        <v>215</v>
      </c>
      <c r="B59" s="39" t="s">
        <v>216</v>
      </c>
      <c r="C59" s="40"/>
      <c r="D59" s="41"/>
      <c r="E59" s="41"/>
      <c r="F59" s="23"/>
      <c r="G59" s="42">
        <f t="shared" si="7"/>
        <v>0</v>
      </c>
      <c r="H59" s="557"/>
      <c r="I59" s="39"/>
      <c r="J59" s="30"/>
      <c r="K59" s="30"/>
      <c r="L59" s="30"/>
      <c r="M59" s="31"/>
      <c r="N59" s="2"/>
    </row>
    <row r="60" spans="1:14" ht="24.75" customHeight="1">
      <c r="A60" s="47" t="s">
        <v>219</v>
      </c>
      <c r="B60" s="39" t="s">
        <v>220</v>
      </c>
      <c r="C60" s="40"/>
      <c r="D60" s="41"/>
      <c r="E60" s="41"/>
      <c r="F60" s="23"/>
      <c r="G60" s="42">
        <f t="shared" si="7"/>
        <v>0</v>
      </c>
      <c r="H60" s="557"/>
      <c r="I60" s="39"/>
      <c r="J60" s="30"/>
      <c r="K60" s="30"/>
      <c r="L60" s="30"/>
      <c r="M60" s="31"/>
      <c r="N60" s="2"/>
    </row>
    <row r="61" spans="1:14" ht="24.75" customHeight="1">
      <c r="A61" s="47" t="s">
        <v>222</v>
      </c>
      <c r="B61" s="39" t="s">
        <v>223</v>
      </c>
      <c r="C61" s="40"/>
      <c r="D61" s="41"/>
      <c r="E61" s="41"/>
      <c r="F61" s="23"/>
      <c r="G61" s="42">
        <f t="shared" si="7"/>
        <v>0</v>
      </c>
      <c r="H61" s="557"/>
      <c r="I61" s="39"/>
      <c r="J61" s="30"/>
      <c r="K61" s="30"/>
      <c r="L61" s="30"/>
      <c r="M61" s="31"/>
      <c r="N61" s="2"/>
    </row>
    <row r="62" spans="1:14" ht="23.25" customHeight="1">
      <c r="A62" s="48" t="s">
        <v>224</v>
      </c>
      <c r="B62" s="33" t="s">
        <v>225</v>
      </c>
      <c r="C62" s="34" t="e">
        <f>VLOOKUP($B$3,[3]QATC03!$B$2:$T$34,11,FALSE)</f>
        <v>#N/A</v>
      </c>
      <c r="D62" s="35"/>
      <c r="E62" s="35"/>
      <c r="F62" s="37"/>
      <c r="G62" s="36">
        <f>IF(COUNTIF(F63:F66,"Não se aplica")&gt;=2,"Não se aplica",IF(COUNTIF(F63:F66,"Sem classificação")&gt;=2,"Sem classificação",IF(COUNTIF(F63:F66,"Atende")=4,4,IF(COUNTIF(F63:F66,"Atende")&gt;=3,3,IF(COUNTIF(F63:F66,"Atende")&gt;=2,2,IF(COUNTIF(F63:F66,"Atende")&gt;=1,1,0))))))</f>
        <v>3</v>
      </c>
      <c r="H62" s="88"/>
      <c r="I62" s="61"/>
      <c r="J62" s="37"/>
      <c r="K62" s="37"/>
      <c r="L62" s="37"/>
      <c r="M62" s="37"/>
      <c r="N62" s="2"/>
    </row>
    <row r="63" spans="1:14" ht="36.75" customHeight="1">
      <c r="A63" s="47" t="s">
        <v>238</v>
      </c>
      <c r="B63" s="39" t="s">
        <v>239</v>
      </c>
      <c r="C63" s="40"/>
      <c r="D63" s="41"/>
      <c r="E63" s="41"/>
      <c r="F63" s="23" t="s">
        <v>1258</v>
      </c>
      <c r="G63" s="42">
        <f t="shared" ref="G63:G66" si="8">IF(F63="Atende",1,0)</f>
        <v>1</v>
      </c>
      <c r="H63" s="561" t="s">
        <v>84</v>
      </c>
      <c r="I63" s="368" t="s">
        <v>1700</v>
      </c>
      <c r="J63" s="30" t="s">
        <v>1956</v>
      </c>
      <c r="K63" s="30"/>
      <c r="L63" s="30"/>
      <c r="M63" s="31"/>
      <c r="N63" s="262" t="s">
        <v>1513</v>
      </c>
    </row>
    <row r="64" spans="1:14" ht="36.75" customHeight="1">
      <c r="A64" s="47" t="s">
        <v>243</v>
      </c>
      <c r="B64" s="39" t="s">
        <v>244</v>
      </c>
      <c r="C64" s="40"/>
      <c r="D64" s="41"/>
      <c r="E64" s="41"/>
      <c r="F64" s="23"/>
      <c r="G64" s="42">
        <f t="shared" si="8"/>
        <v>0</v>
      </c>
      <c r="H64" s="557"/>
      <c r="I64" s="261" t="s">
        <v>1514</v>
      </c>
      <c r="J64" s="30"/>
      <c r="K64" s="30"/>
      <c r="L64" s="30"/>
      <c r="M64" s="31"/>
      <c r="N64" s="2"/>
    </row>
    <row r="65" spans="1:15" ht="24.75" customHeight="1">
      <c r="A65" s="47" t="s">
        <v>246</v>
      </c>
      <c r="B65" s="39" t="s">
        <v>220</v>
      </c>
      <c r="C65" s="40"/>
      <c r="D65" s="41"/>
      <c r="E65" s="41"/>
      <c r="F65" s="23" t="s">
        <v>1258</v>
      </c>
      <c r="G65" s="42">
        <f t="shared" si="8"/>
        <v>1</v>
      </c>
      <c r="H65" s="557"/>
      <c r="I65" t="s">
        <v>1677</v>
      </c>
      <c r="J65" s="30" t="s">
        <v>1956</v>
      </c>
      <c r="K65" s="30"/>
      <c r="L65" s="30"/>
      <c r="M65" s="31"/>
      <c r="N65" s="263" t="s">
        <v>1515</v>
      </c>
    </row>
    <row r="66" spans="1:15" ht="24.75" customHeight="1">
      <c r="A66" s="47" t="s">
        <v>247</v>
      </c>
      <c r="B66" s="39" t="s">
        <v>223</v>
      </c>
      <c r="C66" s="40"/>
      <c r="D66" s="41"/>
      <c r="E66" s="41"/>
      <c r="F66" s="23" t="s">
        <v>1258</v>
      </c>
      <c r="G66" s="42">
        <f t="shared" si="8"/>
        <v>1</v>
      </c>
      <c r="H66" s="557"/>
      <c r="I66" s="260" t="s">
        <v>1516</v>
      </c>
      <c r="J66" s="30" t="s">
        <v>1956</v>
      </c>
      <c r="K66" s="30"/>
      <c r="L66" s="30"/>
      <c r="M66" s="31"/>
      <c r="N66" s="2"/>
    </row>
    <row r="67" spans="1:15" ht="24.75" customHeight="1">
      <c r="A67" s="91" t="s">
        <v>92</v>
      </c>
      <c r="B67" s="92" t="s">
        <v>249</v>
      </c>
      <c r="C67" s="93"/>
      <c r="D67" s="94"/>
      <c r="E67" s="17">
        <f>SUM(G69,G75,G80)</f>
        <v>12</v>
      </c>
      <c r="F67" s="95"/>
      <c r="G67" s="19" t="str">
        <f>IF(H67&gt;=2,"Não se aplica",IF(I67&gt;=2,"Sem classificação",IF(F67=4,IF(E67&lt;=2,0,IF(E67&lt;=6,1,IF(E67&lt;=10,2,IF(E67&lt;=14,3,4)))),IF(F67=3,ROUND(AVERAGE(G69,G75,G80),0),IF(F67=2,ROUNDDOWN(AVERAGE(G69,G75,G80),0),"Não se aplica")))))</f>
        <v>Não se aplica</v>
      </c>
      <c r="H67" s="20">
        <f>COUNTIF(G69:G80,"Não se aplica")</f>
        <v>0</v>
      </c>
      <c r="I67" s="21"/>
      <c r="J67" s="22"/>
      <c r="K67" s="22"/>
      <c r="L67" s="22"/>
      <c r="M67" s="22"/>
      <c r="N67" s="2"/>
    </row>
    <row r="68" spans="1:15" ht="21" customHeight="1">
      <c r="A68" s="54" t="s">
        <v>18</v>
      </c>
      <c r="B68" s="55" t="s">
        <v>19</v>
      </c>
      <c r="C68" s="25"/>
      <c r="D68" s="26"/>
      <c r="E68" s="26"/>
      <c r="F68" s="96"/>
      <c r="G68" s="28"/>
      <c r="H68" s="29"/>
      <c r="I68" s="58"/>
      <c r="J68" s="30"/>
      <c r="K68" s="30"/>
      <c r="L68" s="30"/>
      <c r="M68" s="31"/>
      <c r="N68" s="2"/>
    </row>
    <row r="69" spans="1:15" ht="18.75" customHeight="1">
      <c r="A69" s="48" t="s">
        <v>259</v>
      </c>
      <c r="B69" s="33" t="s">
        <v>260</v>
      </c>
      <c r="C69" s="34" t="e">
        <f>VLOOKUP($B$3,[4]QATC04!$B$2:$AI$34,2,FALSE)</f>
        <v>#N/A</v>
      </c>
      <c r="D69" s="35"/>
      <c r="E69" s="35"/>
      <c r="F69" s="34"/>
      <c r="G69" s="97">
        <f>IF(COUNTIF(F70:F74,"Não se aplica")&gt;=2,"Não se aplica",IF(COUNTIF(F70:F74,"Sem classificação")&gt;=2,"Sem classificação",IF(COUNTIF(F70:F74,"Atende")=5,4,IF(COUNTIF(F70:F74,"Atende")&gt;=4,3,IF(COUNTIF(F70:F74,"Atende")&gt;=2,2,IF(COUNTIF(F70:F74,"Atende")&gt;=1,1,0))))))</f>
        <v>4</v>
      </c>
      <c r="H69" s="34"/>
      <c r="I69" s="61"/>
      <c r="J69" s="37"/>
      <c r="K69" s="37"/>
      <c r="L69" s="37"/>
      <c r="M69" s="37"/>
      <c r="N69" s="2"/>
    </row>
    <row r="70" spans="1:15" ht="52.5" customHeight="1">
      <c r="A70" s="47" t="s">
        <v>263</v>
      </c>
      <c r="B70" s="39" t="s">
        <v>265</v>
      </c>
      <c r="C70" s="40"/>
      <c r="D70" s="41"/>
      <c r="E70" s="41"/>
      <c r="F70" s="23" t="s">
        <v>1258</v>
      </c>
      <c r="G70" s="42">
        <f t="shared" ref="G70:G74" si="9">IF(F70="Atende",1,0)</f>
        <v>1</v>
      </c>
      <c r="H70" s="561" t="s">
        <v>266</v>
      </c>
      <c r="I70" s="399" t="s">
        <v>1765</v>
      </c>
      <c r="J70" s="30" t="s">
        <v>1956</v>
      </c>
      <c r="K70" s="30"/>
      <c r="L70" s="30"/>
      <c r="M70" s="31"/>
      <c r="N70" s="388" t="s">
        <v>1517</v>
      </c>
    </row>
    <row r="71" spans="1:15" ht="49.5" customHeight="1">
      <c r="A71" s="47" t="s">
        <v>270</v>
      </c>
      <c r="B71" s="39" t="s">
        <v>271</v>
      </c>
      <c r="C71" s="40"/>
      <c r="D71" s="41"/>
      <c r="E71" s="41"/>
      <c r="F71" s="23" t="s">
        <v>1258</v>
      </c>
      <c r="G71" s="42">
        <f t="shared" si="9"/>
        <v>1</v>
      </c>
      <c r="H71" s="557"/>
      <c r="I71" s="399" t="s">
        <v>1766</v>
      </c>
      <c r="J71" s="30" t="s">
        <v>1956</v>
      </c>
      <c r="K71" s="30"/>
      <c r="L71" s="30"/>
      <c r="M71" s="31"/>
      <c r="N71" s="376" t="s">
        <v>1641</v>
      </c>
    </row>
    <row r="72" spans="1:15" ht="49.5" customHeight="1">
      <c r="A72" s="47" t="s">
        <v>272</v>
      </c>
      <c r="B72" s="39" t="s">
        <v>273</v>
      </c>
      <c r="C72" s="40"/>
      <c r="D72" s="41"/>
      <c r="E72" s="41"/>
      <c r="F72" s="23" t="s">
        <v>1258</v>
      </c>
      <c r="G72" s="42">
        <f t="shared" si="9"/>
        <v>1</v>
      </c>
      <c r="H72" s="557"/>
      <c r="I72" s="401" t="s">
        <v>1767</v>
      </c>
      <c r="J72" s="30" t="s">
        <v>1956</v>
      </c>
      <c r="K72" s="30"/>
      <c r="L72" s="30"/>
      <c r="M72" s="31"/>
      <c r="N72" s="353" t="s">
        <v>1641</v>
      </c>
    </row>
    <row r="73" spans="1:15" ht="60.75" customHeight="1">
      <c r="A73" s="47" t="s">
        <v>275</v>
      </c>
      <c r="B73" s="39" t="s">
        <v>276</v>
      </c>
      <c r="C73" s="40"/>
      <c r="D73" s="41"/>
      <c r="E73" s="41"/>
      <c r="F73" s="23" t="s">
        <v>1258</v>
      </c>
      <c r="G73" s="42">
        <f t="shared" si="9"/>
        <v>1</v>
      </c>
      <c r="H73" s="557"/>
      <c r="I73" s="401" t="s">
        <v>1768</v>
      </c>
      <c r="J73" s="30" t="s">
        <v>1956</v>
      </c>
      <c r="K73" s="30"/>
      <c r="L73" s="30"/>
      <c r="M73" s="31"/>
      <c r="N73" s="388" t="s">
        <v>1518</v>
      </c>
    </row>
    <row r="74" spans="1:15" ht="78" customHeight="1">
      <c r="A74" s="47" t="s">
        <v>277</v>
      </c>
      <c r="B74" s="39" t="s">
        <v>278</v>
      </c>
      <c r="C74" s="40"/>
      <c r="D74" s="98"/>
      <c r="E74" s="98"/>
      <c r="F74" s="23" t="s">
        <v>1258</v>
      </c>
      <c r="G74" s="42">
        <f t="shared" si="9"/>
        <v>1</v>
      </c>
      <c r="H74" s="557"/>
      <c r="I74" s="399" t="s">
        <v>1769</v>
      </c>
      <c r="J74" s="30" t="s">
        <v>1956</v>
      </c>
      <c r="K74" s="30"/>
      <c r="L74" s="30"/>
      <c r="M74" s="31"/>
      <c r="N74" s="354" t="s">
        <v>1517</v>
      </c>
      <c r="O74" s="413" t="s">
        <v>1583</v>
      </c>
    </row>
    <row r="75" spans="1:15" ht="24" customHeight="1">
      <c r="A75" s="48" t="s">
        <v>280</v>
      </c>
      <c r="B75" s="33" t="s">
        <v>281</v>
      </c>
      <c r="C75" s="34" t="e">
        <f>VLOOKUP($B$3,[4]QATC04!$B$2:$AI$34,11,FALSE)</f>
        <v>#N/A</v>
      </c>
      <c r="D75" s="35"/>
      <c r="E75" s="35"/>
      <c r="F75" s="34"/>
      <c r="G75" s="97">
        <f>IF(COUNTIF(F76:F79,"Não se aplica")&gt;=2,"Não se aplica",IF(COUNTIF(F76:F79,"Sem classificação")&gt;=2,"Sem classificação",IF(COUNTIF(F76:F79,"Atende")=4,4,IF(COUNTIF(F76:F79,"Atende")=3,3,IF(COUNTIF(F76:F79,"Atende")=2,2,IF(COUNTIF(F76:F79,"Atende")=1,1,0))))))</f>
        <v>4</v>
      </c>
      <c r="H75" s="37"/>
      <c r="I75" s="37"/>
      <c r="J75" s="37"/>
      <c r="K75" s="37"/>
      <c r="L75" s="37"/>
      <c r="M75" s="37"/>
      <c r="N75" s="2"/>
    </row>
    <row r="76" spans="1:15" ht="71.25" customHeight="1">
      <c r="A76" s="47" t="s">
        <v>286</v>
      </c>
      <c r="B76" s="39" t="s">
        <v>288</v>
      </c>
      <c r="C76" s="40"/>
      <c r="D76" s="41"/>
      <c r="E76" s="41"/>
      <c r="F76" s="23" t="s">
        <v>1258</v>
      </c>
      <c r="G76" s="42">
        <f t="shared" ref="G76:G79" si="10">IF(F76="Atende",1,0)</f>
        <v>1</v>
      </c>
      <c r="H76" s="561" t="s">
        <v>289</v>
      </c>
      <c r="I76" s="400" t="s">
        <v>1770</v>
      </c>
      <c r="J76" s="30" t="s">
        <v>1956</v>
      </c>
      <c r="K76" s="30"/>
      <c r="L76" s="30"/>
      <c r="M76" s="31"/>
      <c r="N76" s="353" t="s">
        <v>1643</v>
      </c>
    </row>
    <row r="77" spans="1:15" ht="40.5" customHeight="1">
      <c r="A77" s="47" t="s">
        <v>290</v>
      </c>
      <c r="B77" s="39" t="s">
        <v>291</v>
      </c>
      <c r="C77" s="40"/>
      <c r="D77" s="41"/>
      <c r="E77" s="41"/>
      <c r="F77" s="23" t="s">
        <v>1258</v>
      </c>
      <c r="G77" s="42">
        <f t="shared" si="10"/>
        <v>1</v>
      </c>
      <c r="H77" s="557"/>
      <c r="I77" s="401" t="s">
        <v>1789</v>
      </c>
      <c r="J77" s="30" t="s">
        <v>1956</v>
      </c>
      <c r="K77" s="30"/>
      <c r="L77" s="30"/>
      <c r="M77" s="31"/>
    </row>
    <row r="78" spans="1:15" ht="27" customHeight="1">
      <c r="A78" s="47" t="s">
        <v>293</v>
      </c>
      <c r="B78" s="39" t="s">
        <v>294</v>
      </c>
      <c r="C78" s="40"/>
      <c r="D78" s="41"/>
      <c r="E78" s="41"/>
      <c r="F78" s="23" t="s">
        <v>1258</v>
      </c>
      <c r="G78" s="42">
        <f t="shared" si="10"/>
        <v>1</v>
      </c>
      <c r="H78" s="557"/>
      <c r="I78" s="400" t="s">
        <v>1771</v>
      </c>
      <c r="J78" s="30" t="s">
        <v>1956</v>
      </c>
      <c r="K78" s="30"/>
      <c r="L78" s="30"/>
      <c r="M78" s="31"/>
      <c r="N78" s="353" t="s">
        <v>1642</v>
      </c>
    </row>
    <row r="79" spans="1:15" ht="33.75" customHeight="1">
      <c r="A79" s="47" t="s">
        <v>295</v>
      </c>
      <c r="B79" s="39" t="s">
        <v>296</v>
      </c>
      <c r="C79" s="40"/>
      <c r="D79" s="41"/>
      <c r="E79" s="41"/>
      <c r="F79" s="23" t="s">
        <v>1258</v>
      </c>
      <c r="G79" s="42">
        <f t="shared" si="10"/>
        <v>1</v>
      </c>
      <c r="H79" s="557"/>
      <c r="I79" s="400" t="s">
        <v>1772</v>
      </c>
      <c r="J79" s="30" t="s">
        <v>1956</v>
      </c>
      <c r="K79" s="30"/>
      <c r="L79" s="30"/>
      <c r="M79" s="31"/>
      <c r="N79" s="376" t="s">
        <v>1643</v>
      </c>
    </row>
    <row r="80" spans="1:15" ht="21" customHeight="1">
      <c r="A80" s="48" t="s">
        <v>297</v>
      </c>
      <c r="B80" s="33" t="s">
        <v>298</v>
      </c>
      <c r="C80" s="34" t="e">
        <f>VLOOKUP($B$3,[4]QATC04!$B$2:$AI$34,22,FALSE)</f>
        <v>#N/A</v>
      </c>
      <c r="D80" s="35"/>
      <c r="E80" s="35"/>
      <c r="F80" s="37"/>
      <c r="G80" s="36">
        <f>IF(COUNTIF(F81:F86,"Não se aplica")&gt;=2,"Não se aplica",IF(COUNTIF(F81:F86,"Sem classificação")&gt;=2,"Sem classificação",IF(COUNTIF(F81:F86,"Atende")=6,4,IF(COUNTIF(F81:F86,"Atende")&gt;=4,3,IF(COUNTIF(F81:F86,"Atende")&gt;=2,2,IF(COUNTIF(F81:F86,"Atende")&gt;=1,1,0))))))</f>
        <v>4</v>
      </c>
      <c r="H80" s="37"/>
      <c r="I80" s="99"/>
      <c r="J80" s="37"/>
      <c r="K80" s="37"/>
      <c r="L80" s="37"/>
      <c r="M80" s="37"/>
      <c r="N80" s="2"/>
    </row>
    <row r="81" spans="1:14" ht="24.75" customHeight="1">
      <c r="A81" s="100" t="s">
        <v>301</v>
      </c>
      <c r="B81" s="39" t="s">
        <v>304</v>
      </c>
      <c r="C81" s="40"/>
      <c r="D81" s="41"/>
      <c r="E81" s="41"/>
      <c r="F81" s="23" t="s">
        <v>1258</v>
      </c>
      <c r="G81" s="42">
        <f t="shared" ref="G81:G86" si="11">IF(F81="Atende",1,0)</f>
        <v>1</v>
      </c>
      <c r="H81" s="562" t="s">
        <v>266</v>
      </c>
      <c r="I81" s="401" t="s">
        <v>1773</v>
      </c>
      <c r="J81" s="30" t="s">
        <v>1956</v>
      </c>
      <c r="K81" s="30"/>
      <c r="L81" s="30"/>
      <c r="M81" s="31"/>
      <c r="N81" s="388" t="s">
        <v>1517</v>
      </c>
    </row>
    <row r="82" spans="1:14" ht="30.75" customHeight="1">
      <c r="A82" s="100" t="s">
        <v>306</v>
      </c>
      <c r="B82" s="39" t="s">
        <v>307</v>
      </c>
      <c r="C82" s="40"/>
      <c r="D82" s="41"/>
      <c r="E82" s="41"/>
      <c r="F82" s="23" t="s">
        <v>1258</v>
      </c>
      <c r="G82" s="42">
        <f t="shared" si="11"/>
        <v>1</v>
      </c>
      <c r="H82" s="557"/>
      <c r="I82" s="401" t="s">
        <v>1790</v>
      </c>
      <c r="J82" s="30" t="s">
        <v>1956</v>
      </c>
      <c r="K82" s="30"/>
      <c r="L82" s="30"/>
      <c r="M82" s="31"/>
      <c r="N82" s="2"/>
    </row>
    <row r="83" spans="1:14" ht="24.75" customHeight="1">
      <c r="A83" s="100" t="s">
        <v>308</v>
      </c>
      <c r="B83" s="39" t="s">
        <v>309</v>
      </c>
      <c r="C83" s="40"/>
      <c r="D83" s="41"/>
      <c r="E83" s="41"/>
      <c r="F83" s="23" t="s">
        <v>1258</v>
      </c>
      <c r="G83" s="42">
        <f t="shared" si="11"/>
        <v>1</v>
      </c>
      <c r="H83" s="557"/>
      <c r="I83" s="401" t="s">
        <v>1519</v>
      </c>
      <c r="J83" s="30" t="s">
        <v>1956</v>
      </c>
      <c r="K83" s="30"/>
      <c r="L83" s="30"/>
      <c r="M83" s="31"/>
      <c r="N83" s="376" t="s">
        <v>1583</v>
      </c>
    </row>
    <row r="84" spans="1:14" ht="57" customHeight="1">
      <c r="A84" s="100" t="s">
        <v>310</v>
      </c>
      <c r="B84" s="39" t="s">
        <v>312</v>
      </c>
      <c r="C84" s="40"/>
      <c r="D84" s="41"/>
      <c r="E84" s="41"/>
      <c r="F84" s="23" t="s">
        <v>1258</v>
      </c>
      <c r="G84" s="42">
        <f t="shared" si="11"/>
        <v>1</v>
      </c>
      <c r="H84" s="557"/>
      <c r="I84" s="401" t="s">
        <v>1774</v>
      </c>
      <c r="J84" s="30" t="s">
        <v>1956</v>
      </c>
      <c r="K84" s="30"/>
      <c r="L84" s="30"/>
      <c r="M84" s="31"/>
      <c r="N84" s="388" t="s">
        <v>1517</v>
      </c>
    </row>
    <row r="85" spans="1:14" ht="32.25" customHeight="1">
      <c r="A85" s="100" t="s">
        <v>313</v>
      </c>
      <c r="B85" s="39" t="s">
        <v>314</v>
      </c>
      <c r="C85" s="40"/>
      <c r="D85" s="41"/>
      <c r="E85" s="41"/>
      <c r="F85" s="23" t="s">
        <v>1258</v>
      </c>
      <c r="G85" s="42">
        <f t="shared" si="11"/>
        <v>1</v>
      </c>
      <c r="H85" s="557"/>
      <c r="I85" s="401" t="s">
        <v>1775</v>
      </c>
      <c r="J85" s="30" t="s">
        <v>1956</v>
      </c>
      <c r="K85" s="30"/>
      <c r="L85" s="30"/>
      <c r="M85" s="31"/>
      <c r="N85" s="376" t="s">
        <v>1583</v>
      </c>
    </row>
    <row r="86" spans="1:14" ht="51.75" customHeight="1">
      <c r="A86" s="100" t="s">
        <v>315</v>
      </c>
      <c r="B86" s="39" t="s">
        <v>316</v>
      </c>
      <c r="C86" s="40"/>
      <c r="D86" s="41"/>
      <c r="E86" s="41"/>
      <c r="F86" s="23" t="s">
        <v>1258</v>
      </c>
      <c r="G86" s="42">
        <f t="shared" si="11"/>
        <v>1</v>
      </c>
      <c r="H86" s="557"/>
      <c r="I86" s="401" t="s">
        <v>1776</v>
      </c>
      <c r="J86" s="30" t="s">
        <v>1956</v>
      </c>
      <c r="K86" s="30"/>
      <c r="L86" s="30"/>
      <c r="M86" s="31"/>
      <c r="N86" s="388" t="s">
        <v>1518</v>
      </c>
    </row>
    <row r="87" spans="1:14" ht="31.5" customHeight="1">
      <c r="A87" s="15" t="s">
        <v>317</v>
      </c>
      <c r="B87" s="52" t="s">
        <v>318</v>
      </c>
      <c r="C87" s="13"/>
      <c r="D87" s="53"/>
      <c r="E87" s="17">
        <f>SUM(G89,G101)</f>
        <v>3</v>
      </c>
      <c r="F87" s="18"/>
      <c r="G87" s="19" t="str">
        <f>IF(H87&gt;=2,"Não se aplica",IF(I87&gt;=2,"Sem classificação",IF(F87=4,IF(E87&lt;=2,0,IF(E87&lt;=6,1,IF(E87&lt;=10,2,IF(E87&lt;=14,3,4)))),IF(F87=3,ROUND(AVERAGE(G89,G101),0),IF(F87=2,ROUNDDOWN(AVERAGE(G89,G101),0),"Não se aplica")))))</f>
        <v>Não se aplica</v>
      </c>
      <c r="H87" s="20">
        <f>COUNTIF(G89:G101,"Não se aplica")</f>
        <v>0</v>
      </c>
      <c r="I87" s="21"/>
      <c r="J87" s="22"/>
      <c r="K87" s="22"/>
      <c r="L87" s="22"/>
      <c r="M87" s="22"/>
      <c r="N87" s="2"/>
    </row>
    <row r="88" spans="1:14" ht="24" customHeight="1">
      <c r="A88" s="54" t="s">
        <v>18</v>
      </c>
      <c r="B88" s="55" t="s">
        <v>19</v>
      </c>
      <c r="C88" s="25"/>
      <c r="D88" s="26"/>
      <c r="E88" s="26"/>
      <c r="F88" s="27"/>
      <c r="G88" s="28"/>
      <c r="H88" s="29"/>
      <c r="I88" s="30"/>
      <c r="J88" s="30"/>
      <c r="K88" s="30"/>
      <c r="L88" s="30"/>
      <c r="M88" s="31"/>
      <c r="N88" s="2"/>
    </row>
    <row r="89" spans="1:14" ht="24.75" customHeight="1">
      <c r="A89" s="48" t="s">
        <v>324</v>
      </c>
      <c r="B89" s="33" t="s">
        <v>325</v>
      </c>
      <c r="C89" s="34" t="e">
        <f>VLOOKUP($B$3,[5]QATC05!$B$2:$BA$34,2,FALSE)</f>
        <v>#N/A</v>
      </c>
      <c r="D89" s="35"/>
      <c r="E89" s="101"/>
      <c r="F89" s="102"/>
      <c r="G89" s="37">
        <f>IF(COUNTIF(F90:F100,"Não se aplica")&gt;=2,"Não se aplica",IF(COUNTIF(F90:F100,"Sem classificação")&gt;=2,"Sem classificação",IF(COUNTIF(F90:F100,"Atende")=11,4,IF(COUNTIF(F90:F100,"Atende")&gt;=8,3,IF(COUNTIF(F90:F100,"Atende")&gt;=5,2,IF(COUNTIF(F90:F100,"Atende")&gt;=3,1,0))))))</f>
        <v>2</v>
      </c>
      <c r="H89" s="34"/>
      <c r="I89" s="37"/>
      <c r="J89" s="37"/>
      <c r="K89" s="37"/>
      <c r="L89" s="37"/>
      <c r="M89" s="37"/>
      <c r="N89" s="2"/>
    </row>
    <row r="90" spans="1:14" ht="42" customHeight="1">
      <c r="A90" s="47" t="s">
        <v>332</v>
      </c>
      <c r="B90" s="39" t="s">
        <v>333</v>
      </c>
      <c r="C90" s="40"/>
      <c r="D90" s="41"/>
      <c r="E90" s="41"/>
      <c r="F90" s="23" t="s">
        <v>1258</v>
      </c>
      <c r="G90" s="42">
        <f t="shared" ref="G90:G100" si="12">IF(F90="Atende",1,0)</f>
        <v>1</v>
      </c>
      <c r="H90" s="561" t="s">
        <v>334</v>
      </c>
      <c r="I90" s="416" t="s">
        <v>1685</v>
      </c>
      <c r="J90" s="30" t="s">
        <v>1956</v>
      </c>
      <c r="K90" s="30"/>
      <c r="L90" s="30"/>
      <c r="M90" s="31"/>
      <c r="N90" s="389" t="s">
        <v>1682</v>
      </c>
    </row>
    <row r="91" spans="1:14" ht="31.5" customHeight="1">
      <c r="A91" s="47" t="s">
        <v>1678</v>
      </c>
      <c r="B91" s="39" t="s">
        <v>336</v>
      </c>
      <c r="C91" s="40"/>
      <c r="D91" s="41"/>
      <c r="E91" s="41"/>
      <c r="F91" s="23" t="s">
        <v>1258</v>
      </c>
      <c r="G91" s="42">
        <f t="shared" si="12"/>
        <v>1</v>
      </c>
      <c r="H91" s="557"/>
      <c r="I91" s="417" t="s">
        <v>1762</v>
      </c>
      <c r="J91" s="30" t="s">
        <v>1956</v>
      </c>
      <c r="K91" s="30"/>
      <c r="L91" s="30"/>
      <c r="M91" s="31"/>
      <c r="N91" s="389" t="s">
        <v>1682</v>
      </c>
    </row>
    <row r="92" spans="1:14" ht="24.75" customHeight="1">
      <c r="A92" s="47" t="s">
        <v>338</v>
      </c>
      <c r="B92" s="39" t="s">
        <v>339</v>
      </c>
      <c r="C92" s="40"/>
      <c r="D92" s="41"/>
      <c r="E92" s="41"/>
      <c r="F92" s="23" t="s">
        <v>1258</v>
      </c>
      <c r="G92" s="42">
        <f t="shared" si="12"/>
        <v>1</v>
      </c>
      <c r="H92" s="557"/>
      <c r="I92" s="265" t="s">
        <v>1681</v>
      </c>
      <c r="J92" s="30" t="s">
        <v>1956</v>
      </c>
      <c r="K92" s="30"/>
      <c r="L92" s="30"/>
      <c r="M92" s="31"/>
      <c r="N92" s="2"/>
    </row>
    <row r="93" spans="1:14" ht="29.25" customHeight="1">
      <c r="A93" s="47" t="s">
        <v>344</v>
      </c>
      <c r="B93" s="39" t="s">
        <v>345</v>
      </c>
      <c r="C93" s="40"/>
      <c r="D93" s="41"/>
      <c r="E93" s="41"/>
      <c r="F93" s="23" t="s">
        <v>1258</v>
      </c>
      <c r="G93" s="42">
        <f t="shared" si="12"/>
        <v>1</v>
      </c>
      <c r="H93" s="557"/>
      <c r="I93" s="264" t="s">
        <v>1679</v>
      </c>
      <c r="J93" s="30" t="s">
        <v>1956</v>
      </c>
      <c r="K93" s="30"/>
      <c r="L93" s="30"/>
      <c r="M93" s="31"/>
      <c r="N93" s="2"/>
    </row>
    <row r="94" spans="1:14" ht="24.75" customHeight="1">
      <c r="A94" s="47" t="s">
        <v>347</v>
      </c>
      <c r="B94" s="39" t="s">
        <v>348</v>
      </c>
      <c r="C94" s="40"/>
      <c r="D94" s="41"/>
      <c r="E94" s="41"/>
      <c r="F94" s="23"/>
      <c r="G94" s="42">
        <f t="shared" si="12"/>
        <v>0</v>
      </c>
      <c r="H94" s="557"/>
      <c r="I94" s="264" t="s">
        <v>1845</v>
      </c>
      <c r="J94" s="54"/>
      <c r="K94" s="54"/>
      <c r="L94" s="54"/>
      <c r="M94" s="54"/>
      <c r="N94" s="2"/>
    </row>
    <row r="95" spans="1:14" ht="30" customHeight="1">
      <c r="A95" s="47" t="s">
        <v>349</v>
      </c>
      <c r="B95" s="39" t="s">
        <v>351</v>
      </c>
      <c r="C95" s="40"/>
      <c r="D95" s="41"/>
      <c r="E95" s="41"/>
      <c r="F95" s="23"/>
      <c r="G95" s="42">
        <f t="shared" si="12"/>
        <v>0</v>
      </c>
      <c r="H95" s="557"/>
      <c r="I95" s="264" t="s">
        <v>1520</v>
      </c>
      <c r="J95" s="54"/>
      <c r="K95" s="54"/>
      <c r="L95" s="54"/>
      <c r="M95" s="54"/>
      <c r="N95" s="2"/>
    </row>
    <row r="96" spans="1:14" ht="24.75" customHeight="1">
      <c r="A96" s="47" t="s">
        <v>352</v>
      </c>
      <c r="B96" s="39" t="s">
        <v>353</v>
      </c>
      <c r="C96" s="40"/>
      <c r="D96" s="41"/>
      <c r="E96" s="41"/>
      <c r="F96" s="23"/>
      <c r="G96" s="42">
        <f t="shared" si="12"/>
        <v>0</v>
      </c>
      <c r="H96" s="557"/>
      <c r="I96" s="264" t="s">
        <v>1520</v>
      </c>
      <c r="J96" s="30"/>
      <c r="K96" s="30"/>
      <c r="L96" s="30"/>
      <c r="M96" s="31"/>
      <c r="N96" s="2"/>
    </row>
    <row r="97" spans="1:14" ht="24.75" customHeight="1">
      <c r="A97" s="47" t="s">
        <v>355</v>
      </c>
      <c r="B97" s="39" t="s">
        <v>356</v>
      </c>
      <c r="C97" s="40"/>
      <c r="D97" s="41"/>
      <c r="E97" s="41"/>
      <c r="F97" s="23" t="s">
        <v>1258</v>
      </c>
      <c r="G97" s="42">
        <f t="shared" si="12"/>
        <v>1</v>
      </c>
      <c r="H97" s="557"/>
      <c r="I97" s="267" t="s">
        <v>1521</v>
      </c>
      <c r="J97" s="30" t="s">
        <v>1956</v>
      </c>
      <c r="K97" s="30"/>
      <c r="L97" s="30"/>
      <c r="M97" s="31"/>
      <c r="N97" s="2"/>
    </row>
    <row r="98" spans="1:14" ht="45.75" customHeight="1">
      <c r="A98" s="47" t="s">
        <v>357</v>
      </c>
      <c r="B98" s="387" t="s">
        <v>358</v>
      </c>
      <c r="C98" s="40"/>
      <c r="D98" s="41"/>
      <c r="E98" s="41"/>
      <c r="F98" s="23"/>
      <c r="G98" s="42">
        <f t="shared" si="12"/>
        <v>0</v>
      </c>
      <c r="H98" s="557"/>
      <c r="I98" s="364" t="s">
        <v>1844</v>
      </c>
      <c r="J98" s="103"/>
      <c r="K98" s="103"/>
      <c r="L98" s="103"/>
      <c r="M98" s="103"/>
      <c r="N98" s="2"/>
    </row>
    <row r="99" spans="1:14" ht="54" customHeight="1">
      <c r="A99" s="47" t="s">
        <v>362</v>
      </c>
      <c r="B99" s="39" t="s">
        <v>363</v>
      </c>
      <c r="C99" s="40"/>
      <c r="D99" s="41"/>
      <c r="E99" s="41"/>
      <c r="F99" s="23"/>
      <c r="G99" s="42">
        <f t="shared" si="12"/>
        <v>0</v>
      </c>
      <c r="H99" s="557"/>
      <c r="I99" s="370" t="s">
        <v>1680</v>
      </c>
      <c r="J99" s="103"/>
      <c r="K99" s="103"/>
      <c r="L99" s="103"/>
      <c r="M99" s="103"/>
      <c r="N99" s="2"/>
    </row>
    <row r="100" spans="1:14" ht="22.5" customHeight="1">
      <c r="A100" s="47" t="s">
        <v>365</v>
      </c>
      <c r="B100" s="39" t="s">
        <v>366</v>
      </c>
      <c r="C100" s="40"/>
      <c r="D100" s="41"/>
      <c r="E100" s="41"/>
      <c r="F100" s="23"/>
      <c r="G100" s="42">
        <f t="shared" si="12"/>
        <v>0</v>
      </c>
      <c r="H100" s="557"/>
      <c r="I100" s="266"/>
      <c r="J100" s="104"/>
      <c r="K100" s="104"/>
      <c r="L100" s="104"/>
      <c r="M100" s="104"/>
      <c r="N100" s="2"/>
    </row>
    <row r="101" spans="1:14" ht="25.5" customHeight="1">
      <c r="A101" s="48" t="s">
        <v>368</v>
      </c>
      <c r="B101" s="33" t="s">
        <v>369</v>
      </c>
      <c r="C101" s="34" t="e">
        <f>VLOOKUP($B$3,[5]QATC05!$B$2:$BA$34,13,FALSE)</f>
        <v>#N/A</v>
      </c>
      <c r="D101" s="35"/>
      <c r="E101" s="35"/>
      <c r="F101" s="34"/>
      <c r="G101" s="97">
        <f>IF(COUNTIF(F102:F114,"Não se aplica")&gt;=2,"Não se aplica",IF(COUNTIF(F102:F114,"Sem classificação")&gt;=2,"Sem classificação",IF(COUNTIF(F102:F114,"Atende")&gt;=10,4,IF(COUNTIF(F102:F114,"Atende")&gt;=8,3,IF(COUNTIF(F102:F114,"Atende")&gt;=6,2,IF(COUNTIF(F102:F114,"Atende")&gt;=4,1,0))))))</f>
        <v>1</v>
      </c>
      <c r="H101" s="37"/>
      <c r="I101" s="37"/>
      <c r="J101" s="37"/>
      <c r="K101" s="37"/>
      <c r="L101" s="37"/>
      <c r="M101" s="37"/>
      <c r="N101" s="2"/>
    </row>
    <row r="102" spans="1:14" ht="22.5" customHeight="1">
      <c r="A102" s="47" t="s">
        <v>370</v>
      </c>
      <c r="B102" s="39" t="s">
        <v>371</v>
      </c>
      <c r="C102" s="40"/>
      <c r="D102" s="41"/>
      <c r="E102" s="41"/>
      <c r="F102" s="23"/>
      <c r="G102" s="42">
        <f t="shared" ref="G102:G114" si="13">IF(F102="Atende",1,0)</f>
        <v>0</v>
      </c>
      <c r="H102" s="561" t="s">
        <v>372</v>
      </c>
      <c r="I102" s="268"/>
      <c r="J102" s="103"/>
      <c r="K102" s="103"/>
      <c r="L102" s="103"/>
      <c r="M102" s="103"/>
      <c r="N102" s="2"/>
    </row>
    <row r="103" spans="1:14" ht="28.5" customHeight="1">
      <c r="A103" s="47" t="s">
        <v>373</v>
      </c>
      <c r="B103" s="39" t="s">
        <v>374</v>
      </c>
      <c r="C103" s="40"/>
      <c r="D103" s="41"/>
      <c r="E103" s="41"/>
      <c r="F103" s="23"/>
      <c r="G103" s="42">
        <f t="shared" si="13"/>
        <v>0</v>
      </c>
      <c r="H103" s="557"/>
      <c r="I103" s="273" t="s">
        <v>1520</v>
      </c>
      <c r="J103" s="103"/>
      <c r="K103" s="103"/>
      <c r="L103" s="103"/>
      <c r="M103" s="103"/>
      <c r="N103" s="2"/>
    </row>
    <row r="104" spans="1:14" ht="38.25" customHeight="1">
      <c r="A104" s="47" t="s">
        <v>376</v>
      </c>
      <c r="B104" s="39" t="s">
        <v>377</v>
      </c>
      <c r="C104" s="40"/>
      <c r="D104" s="41"/>
      <c r="E104" s="41"/>
      <c r="F104" s="23" t="s">
        <v>1258</v>
      </c>
      <c r="G104" s="42">
        <f t="shared" si="13"/>
        <v>1</v>
      </c>
      <c r="H104" s="557"/>
      <c r="I104" s="368" t="s">
        <v>1683</v>
      </c>
      <c r="J104" s="103" t="s">
        <v>1956</v>
      </c>
      <c r="K104" s="103"/>
      <c r="L104" s="103"/>
      <c r="M104" s="103"/>
      <c r="N104" s="272" t="s">
        <v>1522</v>
      </c>
    </row>
    <row r="105" spans="1:14" ht="31.5" customHeight="1">
      <c r="A105" s="47" t="s">
        <v>378</v>
      </c>
      <c r="B105" s="39" t="s">
        <v>379</v>
      </c>
      <c r="C105" s="40"/>
      <c r="D105" s="41"/>
      <c r="E105" s="41"/>
      <c r="F105" s="23"/>
      <c r="G105" s="42">
        <f t="shared" si="13"/>
        <v>0</v>
      </c>
      <c r="H105" s="557"/>
      <c r="I105" s="268"/>
      <c r="J105" s="103"/>
      <c r="K105" s="103"/>
      <c r="L105" s="103"/>
      <c r="M105" s="103"/>
      <c r="N105" s="2"/>
    </row>
    <row r="106" spans="1:14" ht="30" customHeight="1">
      <c r="A106" s="47" t="s">
        <v>380</v>
      </c>
      <c r="B106" s="39" t="s">
        <v>381</v>
      </c>
      <c r="C106" s="40"/>
      <c r="D106" s="41"/>
      <c r="E106" s="41"/>
      <c r="F106" s="23"/>
      <c r="G106" s="42">
        <f t="shared" si="13"/>
        <v>0</v>
      </c>
      <c r="H106" s="557"/>
      <c r="I106" s="271"/>
      <c r="J106" s="103"/>
      <c r="K106" s="103"/>
      <c r="L106" s="103"/>
      <c r="M106" s="103"/>
      <c r="N106" s="2"/>
    </row>
    <row r="107" spans="1:14" ht="42.75" customHeight="1">
      <c r="A107" s="47" t="s">
        <v>382</v>
      </c>
      <c r="B107" s="39" t="s">
        <v>383</v>
      </c>
      <c r="C107" s="40"/>
      <c r="D107" s="41"/>
      <c r="E107" s="41"/>
      <c r="F107" s="23" t="s">
        <v>1258</v>
      </c>
      <c r="G107" s="42">
        <f t="shared" si="13"/>
        <v>1</v>
      </c>
      <c r="H107" s="557"/>
      <c r="I107" s="368" t="s">
        <v>1684</v>
      </c>
      <c r="J107" s="103" t="s">
        <v>1956</v>
      </c>
      <c r="K107" s="103"/>
      <c r="L107" s="103"/>
      <c r="M107" s="103"/>
      <c r="N107" s="272" t="s">
        <v>1523</v>
      </c>
    </row>
    <row r="108" spans="1:14" ht="27.75" customHeight="1">
      <c r="A108" s="47" t="s">
        <v>385</v>
      </c>
      <c r="B108" s="39" t="s">
        <v>386</v>
      </c>
      <c r="C108" s="40"/>
      <c r="D108" s="41"/>
      <c r="E108" s="41"/>
      <c r="F108" s="23"/>
      <c r="G108" s="42">
        <f t="shared" si="13"/>
        <v>0</v>
      </c>
      <c r="H108" s="557"/>
      <c r="I108" s="268"/>
      <c r="J108" s="103"/>
      <c r="K108" s="103"/>
      <c r="L108" s="103"/>
      <c r="M108" s="103"/>
      <c r="N108" s="2"/>
    </row>
    <row r="109" spans="1:14" ht="22.5" customHeight="1">
      <c r="A109" s="47" t="s">
        <v>387</v>
      </c>
      <c r="B109" s="39" t="s">
        <v>388</v>
      </c>
      <c r="C109" s="40"/>
      <c r="D109" s="41"/>
      <c r="E109" s="41"/>
      <c r="F109" s="23"/>
      <c r="G109" s="42">
        <f t="shared" si="13"/>
        <v>0</v>
      </c>
      <c r="H109" s="557"/>
      <c r="I109" s="274" t="s">
        <v>1524</v>
      </c>
      <c r="J109" s="54"/>
      <c r="K109" s="54"/>
      <c r="L109" s="54"/>
      <c r="M109" s="54"/>
      <c r="N109" s="2"/>
    </row>
    <row r="110" spans="1:14" ht="36" customHeight="1">
      <c r="A110" s="47" t="s">
        <v>389</v>
      </c>
      <c r="B110" s="39" t="s">
        <v>390</v>
      </c>
      <c r="C110" s="40"/>
      <c r="D110" s="41"/>
      <c r="E110" s="41"/>
      <c r="F110" s="23" t="s">
        <v>1258</v>
      </c>
      <c r="G110" s="42">
        <f t="shared" si="13"/>
        <v>1</v>
      </c>
      <c r="H110" s="557"/>
      <c r="I110" s="275" t="s">
        <v>1695</v>
      </c>
      <c r="J110" s="54" t="s">
        <v>1956</v>
      </c>
      <c r="K110" s="54"/>
      <c r="L110" s="54"/>
      <c r="M110" s="54"/>
      <c r="N110" s="353" t="s">
        <v>1760</v>
      </c>
    </row>
    <row r="111" spans="1:14" ht="30" customHeight="1">
      <c r="A111" s="47" t="s">
        <v>391</v>
      </c>
      <c r="B111" s="39" t="s">
        <v>392</v>
      </c>
      <c r="C111" s="40"/>
      <c r="D111" s="41"/>
      <c r="E111" s="41"/>
      <c r="F111" s="23"/>
      <c r="G111" s="42">
        <f t="shared" si="13"/>
        <v>0</v>
      </c>
      <c r="H111" s="557"/>
      <c r="I111" s="269"/>
      <c r="J111" s="113"/>
      <c r="K111" s="113"/>
      <c r="L111" s="113"/>
      <c r="M111" s="113"/>
      <c r="N111" s="2"/>
    </row>
    <row r="112" spans="1:14" ht="44.25" customHeight="1">
      <c r="A112" s="47" t="s">
        <v>394</v>
      </c>
      <c r="B112" s="387" t="s">
        <v>395</v>
      </c>
      <c r="C112" s="40"/>
      <c r="D112" s="41"/>
      <c r="E112" s="41"/>
      <c r="F112" s="23"/>
      <c r="G112" s="42">
        <f t="shared" si="13"/>
        <v>0</v>
      </c>
      <c r="H112" s="557"/>
      <c r="I112" s="425" t="s">
        <v>1849</v>
      </c>
      <c r="J112" s="30"/>
      <c r="K112" s="30"/>
      <c r="L112" s="30"/>
      <c r="M112" s="30"/>
      <c r="N112" s="2"/>
    </row>
    <row r="113" spans="1:14" ht="22.5" customHeight="1">
      <c r="A113" s="47" t="s">
        <v>396</v>
      </c>
      <c r="B113" s="39" t="s">
        <v>397</v>
      </c>
      <c r="C113" s="40"/>
      <c r="D113" s="41"/>
      <c r="E113" s="41"/>
      <c r="F113" s="23" t="s">
        <v>1258</v>
      </c>
      <c r="G113" s="42">
        <f t="shared" si="13"/>
        <v>1</v>
      </c>
      <c r="H113" s="557"/>
      <c r="I113" s="272" t="s">
        <v>1760</v>
      </c>
      <c r="J113" s="113" t="s">
        <v>1956</v>
      </c>
      <c r="K113" s="113"/>
      <c r="L113" s="113"/>
      <c r="M113" s="113"/>
      <c r="N113" s="2"/>
    </row>
    <row r="114" spans="1:14" ht="30.75" customHeight="1">
      <c r="A114" s="47" t="s">
        <v>398</v>
      </c>
      <c r="B114" s="387" t="s">
        <v>399</v>
      </c>
      <c r="C114" s="40"/>
      <c r="D114" s="41"/>
      <c r="E114" s="41"/>
      <c r="F114" s="23"/>
      <c r="G114" s="42">
        <f t="shared" si="13"/>
        <v>0</v>
      </c>
      <c r="H114" s="557"/>
      <c r="I114" s="270" t="s">
        <v>1846</v>
      </c>
      <c r="J114" s="30"/>
      <c r="K114" s="30"/>
      <c r="L114" s="30"/>
      <c r="M114" s="30"/>
      <c r="N114" s="2"/>
    </row>
    <row r="115" spans="1:14" ht="30" customHeight="1">
      <c r="A115" s="91" t="s">
        <v>401</v>
      </c>
      <c r="B115" s="92" t="s">
        <v>402</v>
      </c>
      <c r="C115" s="13"/>
      <c r="D115" s="94"/>
      <c r="E115" s="17">
        <f>SUM(G117,G125,G136,G144)</f>
        <v>13</v>
      </c>
      <c r="F115" s="95"/>
      <c r="G115" s="19" t="str">
        <f>IF(H115&gt;=2,"Não se aplica",IF(I115&gt;=2,"Sem classificação",IF(F115=4,IF(E115&lt;=2,0,IF(E115&lt;=6,1,IF(E115&lt;=10,2,IF(E115&lt;=14,3,4)))),IF(F115=3,ROUND(AVERAGE(G117,G125,G136,G144),0),IF(F115=2,ROUNDDOWN(AVERAGE(G117,G125,G136,G144),0),"Não se aplica")))))</f>
        <v>Não se aplica</v>
      </c>
      <c r="H115" s="20">
        <f>COUNTIF(G117:G144,"Não se aplica")</f>
        <v>0</v>
      </c>
      <c r="I115" s="21"/>
      <c r="J115" s="22"/>
      <c r="K115" s="22"/>
      <c r="L115" s="22"/>
      <c r="M115" s="22"/>
      <c r="N115" s="2"/>
    </row>
    <row r="116" spans="1:14" ht="24.75" customHeight="1">
      <c r="A116" s="54" t="s">
        <v>18</v>
      </c>
      <c r="B116" s="55" t="s">
        <v>19</v>
      </c>
      <c r="C116" s="25"/>
      <c r="D116" s="26"/>
      <c r="E116" s="26"/>
      <c r="F116" s="56"/>
      <c r="G116" s="28"/>
      <c r="H116" s="29"/>
      <c r="I116" s="30"/>
      <c r="J116" s="30"/>
      <c r="K116" s="30"/>
      <c r="L116" s="30"/>
      <c r="M116" s="30"/>
      <c r="N116" s="2"/>
    </row>
    <row r="117" spans="1:14" ht="21" customHeight="1">
      <c r="A117" s="48" t="s">
        <v>407</v>
      </c>
      <c r="B117" s="33" t="s">
        <v>408</v>
      </c>
      <c r="C117" s="34" t="e">
        <f>VLOOKUP($B$3,[6]QATC06!$B$2:$BR$34,2,FALSE)</f>
        <v>#N/A</v>
      </c>
      <c r="D117" s="35"/>
      <c r="E117" s="35"/>
      <c r="F117" s="37"/>
      <c r="G117" s="97">
        <f>IF(COUNTIF(F118:F124,"Não se aplica")&gt;=2,"Não se aplica",IF(COUNTIF(F118:F124,"Sem classificação")&gt;=2,"Sem classificação",IF(COUNTIF(F118:F124,"Atende")&gt;=6,4,IF(COUNTIF(F118:F124,"Atende")&gt;=5,3,IF(COUNTIF(F118:F124,"Atende")&gt;=3,2,IF(COUNTIF(F118:F124,"Atende")&gt;=2,1,0))))))</f>
        <v>3</v>
      </c>
      <c r="H117" s="34"/>
      <c r="I117" s="37"/>
      <c r="J117" s="37"/>
      <c r="K117" s="37"/>
      <c r="L117" s="37"/>
      <c r="M117" s="37"/>
      <c r="N117" s="2"/>
    </row>
    <row r="118" spans="1:14" ht="25.5" customHeight="1">
      <c r="A118" s="47" t="s">
        <v>410</v>
      </c>
      <c r="B118" s="39" t="s">
        <v>411</v>
      </c>
      <c r="C118" s="40"/>
      <c r="D118" s="41"/>
      <c r="E118" s="41"/>
      <c r="F118" s="23" t="s">
        <v>1258</v>
      </c>
      <c r="G118" s="42">
        <f t="shared" ref="G118:G124" si="14">IF(F118="Atende",1,0)</f>
        <v>1</v>
      </c>
      <c r="H118" s="561" t="s">
        <v>413</v>
      </c>
      <c r="I118" s="375" t="s">
        <v>1699</v>
      </c>
      <c r="J118" s="30" t="s">
        <v>1956</v>
      </c>
      <c r="K118" s="30"/>
      <c r="L118" s="30"/>
      <c r="M118" s="402"/>
      <c r="N118" s="403" t="s">
        <v>1703</v>
      </c>
    </row>
    <row r="119" spans="1:14" ht="36.75" customHeight="1">
      <c r="A119" s="47" t="s">
        <v>414</v>
      </c>
      <c r="B119" s="39" t="s">
        <v>415</v>
      </c>
      <c r="C119" s="40"/>
      <c r="D119" s="41"/>
      <c r="E119" s="41"/>
      <c r="F119" s="23" t="s">
        <v>1258</v>
      </c>
      <c r="G119" s="42">
        <f t="shared" si="14"/>
        <v>1</v>
      </c>
      <c r="H119" s="557"/>
      <c r="I119" s="407" t="s">
        <v>1788</v>
      </c>
      <c r="J119" s="30" t="s">
        <v>1956</v>
      </c>
      <c r="K119" s="30"/>
      <c r="L119" s="30"/>
      <c r="M119" s="31"/>
      <c r="N119" s="376" t="s">
        <v>1644</v>
      </c>
    </row>
    <row r="120" spans="1:14" ht="31.5" customHeight="1">
      <c r="A120" s="47" t="s">
        <v>416</v>
      </c>
      <c r="B120" s="39" t="s">
        <v>417</v>
      </c>
      <c r="C120" s="40"/>
      <c r="D120" s="41"/>
      <c r="E120" s="41"/>
      <c r="F120" s="23" t="s">
        <v>1258</v>
      </c>
      <c r="G120" s="42">
        <f t="shared" si="14"/>
        <v>1</v>
      </c>
      <c r="H120" s="557"/>
      <c r="I120" s="276" t="s">
        <v>1693</v>
      </c>
      <c r="J120" s="30" t="s">
        <v>1956</v>
      </c>
      <c r="K120" s="30"/>
      <c r="L120" s="30"/>
      <c r="M120" s="31"/>
      <c r="N120" s="376" t="s">
        <v>1702</v>
      </c>
    </row>
    <row r="121" spans="1:14" ht="31.5" customHeight="1">
      <c r="A121" s="47" t="s">
        <v>418</v>
      </c>
      <c r="B121" s="39" t="s">
        <v>419</v>
      </c>
      <c r="C121" s="40"/>
      <c r="D121" s="41"/>
      <c r="E121" s="41"/>
      <c r="F121" s="23"/>
      <c r="G121" s="42">
        <f t="shared" si="14"/>
        <v>0</v>
      </c>
      <c r="H121" s="557"/>
      <c r="I121" s="407"/>
      <c r="J121" s="30"/>
      <c r="K121" s="30"/>
      <c r="L121" s="30"/>
      <c r="M121" s="31"/>
      <c r="N121" s="2"/>
    </row>
    <row r="122" spans="1:14" ht="41.25" customHeight="1">
      <c r="A122" s="47" t="s">
        <v>420</v>
      </c>
      <c r="B122" s="39" t="s">
        <v>421</v>
      </c>
      <c r="C122" s="40"/>
      <c r="D122" s="41"/>
      <c r="E122" s="41"/>
      <c r="F122" s="23" t="s">
        <v>1258</v>
      </c>
      <c r="G122" s="42">
        <f t="shared" si="14"/>
        <v>1</v>
      </c>
      <c r="H122" s="557"/>
      <c r="I122" s="276" t="s">
        <v>1810</v>
      </c>
      <c r="J122" s="30" t="s">
        <v>1956</v>
      </c>
      <c r="K122" s="30"/>
      <c r="L122" s="30"/>
      <c r="M122" s="31"/>
      <c r="N122" s="2"/>
    </row>
    <row r="123" spans="1:14" ht="29.25" customHeight="1">
      <c r="A123" s="47" t="s">
        <v>422</v>
      </c>
      <c r="B123" s="387" t="s">
        <v>423</v>
      </c>
      <c r="C123" s="40"/>
      <c r="D123" s="41"/>
      <c r="E123" s="41"/>
      <c r="F123" s="23"/>
      <c r="G123" s="42">
        <f t="shared" si="14"/>
        <v>0</v>
      </c>
      <c r="H123" s="557"/>
      <c r="I123" s="276" t="s">
        <v>1811</v>
      </c>
      <c r="J123" s="30"/>
      <c r="K123" s="30"/>
      <c r="L123" s="30"/>
      <c r="M123" s="31"/>
      <c r="N123" s="2"/>
    </row>
    <row r="124" spans="1:14" ht="29.25" customHeight="1">
      <c r="A124" s="47" t="s">
        <v>424</v>
      </c>
      <c r="B124" s="39" t="s">
        <v>425</v>
      </c>
      <c r="C124" s="40"/>
      <c r="D124" s="41"/>
      <c r="E124" s="41"/>
      <c r="F124" s="23" t="s">
        <v>1258</v>
      </c>
      <c r="G124" s="42">
        <f t="shared" si="14"/>
        <v>1</v>
      </c>
      <c r="H124" s="557"/>
      <c r="I124" s="407" t="s">
        <v>1812</v>
      </c>
      <c r="J124" s="30" t="s">
        <v>1956</v>
      </c>
      <c r="K124" s="30"/>
      <c r="L124" s="30"/>
      <c r="M124" s="31"/>
      <c r="N124" s="376" t="s">
        <v>1644</v>
      </c>
    </row>
    <row r="125" spans="1:14" ht="24.75" customHeight="1">
      <c r="A125" s="48" t="s">
        <v>426</v>
      </c>
      <c r="B125" s="33" t="s">
        <v>427</v>
      </c>
      <c r="C125" s="34" t="e">
        <f>VLOOKUP($B$3,[6]QATC06!$B$2:$BR$34,11,FALSE)</f>
        <v>#N/A</v>
      </c>
      <c r="D125" s="35"/>
      <c r="E125" s="35"/>
      <c r="F125" s="37"/>
      <c r="G125" s="36">
        <f>IF(COUNTIF(F126:F135,"Não se aplica")&gt;=2,"Não se aplica",IF(COUNTIF(F126:F135,"Sem classificação")&gt;=2,"Sem classificação",IF(COUNTIF(F126:F135,"Atende")=10,4,IF(COUNTIF(F126:F135,"Atende")&gt;=7,3,IF(COUNTIF(F126:F135,"Atende")&gt;=5,2,IF(COUNTIF(F126:F135,"Atende")&gt;=2,1,0))))))</f>
        <v>4</v>
      </c>
      <c r="H125" s="37"/>
      <c r="I125" s="127"/>
      <c r="J125" s="37"/>
      <c r="K125" s="37"/>
      <c r="L125" s="37"/>
      <c r="M125" s="37"/>
      <c r="N125" s="2"/>
    </row>
    <row r="126" spans="1:14" ht="31.5" customHeight="1">
      <c r="A126" s="47" t="s">
        <v>428</v>
      </c>
      <c r="B126" s="39" t="s">
        <v>429</v>
      </c>
      <c r="C126" s="40"/>
      <c r="D126" s="41"/>
      <c r="E126" s="41"/>
      <c r="F126" s="23" t="s">
        <v>1258</v>
      </c>
      <c r="G126" s="42">
        <f t="shared" ref="G126:G135" si="15">IF(F126="Atende",1,0)</f>
        <v>1</v>
      </c>
      <c r="H126" s="559" t="s">
        <v>430</v>
      </c>
      <c r="I126" s="369" t="s">
        <v>1688</v>
      </c>
      <c r="J126" s="30" t="s">
        <v>1956</v>
      </c>
      <c r="K126" s="30"/>
      <c r="L126" s="30"/>
      <c r="M126" s="31"/>
      <c r="N126" s="376" t="s">
        <v>1690</v>
      </c>
    </row>
    <row r="127" spans="1:14" ht="30" customHeight="1">
      <c r="A127" s="47" t="s">
        <v>431</v>
      </c>
      <c r="B127" s="39" t="s">
        <v>432</v>
      </c>
      <c r="C127" s="40"/>
      <c r="D127" s="41"/>
      <c r="E127" s="41"/>
      <c r="F127" s="23" t="s">
        <v>1258</v>
      </c>
      <c r="G127" s="42">
        <f t="shared" si="15"/>
        <v>1</v>
      </c>
      <c r="H127" s="557"/>
      <c r="I127" s="369" t="s">
        <v>1691</v>
      </c>
      <c r="J127" s="30" t="s">
        <v>1956</v>
      </c>
      <c r="K127" s="30"/>
      <c r="L127" s="30"/>
      <c r="M127" s="31"/>
      <c r="N127" s="376" t="s">
        <v>1689</v>
      </c>
    </row>
    <row r="128" spans="1:14" ht="40.5" customHeight="1">
      <c r="A128" s="47" t="s">
        <v>433</v>
      </c>
      <c r="B128" s="39" t="s">
        <v>434</v>
      </c>
      <c r="C128" s="40"/>
      <c r="D128" s="41"/>
      <c r="E128" s="41"/>
      <c r="F128" s="23" t="s">
        <v>1258</v>
      </c>
      <c r="G128" s="42">
        <f t="shared" si="15"/>
        <v>1</v>
      </c>
      <c r="H128" s="557"/>
      <c r="I128" s="371" t="s">
        <v>1850</v>
      </c>
      <c r="J128" s="30" t="s">
        <v>1956</v>
      </c>
      <c r="K128" s="30"/>
      <c r="L128" s="30"/>
      <c r="M128" s="31"/>
      <c r="N128" s="398" t="s">
        <v>1689</v>
      </c>
    </row>
    <row r="129" spans="1:14" ht="43.5" customHeight="1">
      <c r="A129" s="47" t="s">
        <v>435</v>
      </c>
      <c r="B129" s="39" t="s">
        <v>436</v>
      </c>
      <c r="C129" s="40"/>
      <c r="D129" s="41"/>
      <c r="E129" s="41"/>
      <c r="F129" s="23" t="s">
        <v>1258</v>
      </c>
      <c r="G129" s="42">
        <f t="shared" si="15"/>
        <v>1</v>
      </c>
      <c r="H129" s="557"/>
      <c r="I129" s="369" t="s">
        <v>1820</v>
      </c>
      <c r="J129" s="30" t="s">
        <v>1956</v>
      </c>
      <c r="K129" s="30"/>
      <c r="L129" s="30"/>
      <c r="M129" s="31"/>
      <c r="N129" s="376" t="s">
        <v>1689</v>
      </c>
    </row>
    <row r="130" spans="1:14" ht="32.25" customHeight="1">
      <c r="A130" s="47" t="s">
        <v>437</v>
      </c>
      <c r="B130" s="384" t="s">
        <v>438</v>
      </c>
      <c r="C130" s="40"/>
      <c r="D130" s="41"/>
      <c r="E130" s="41"/>
      <c r="F130" s="23" t="s">
        <v>1258</v>
      </c>
      <c r="G130" s="42">
        <f t="shared" si="15"/>
        <v>1</v>
      </c>
      <c r="H130" s="557"/>
      <c r="I130" s="371" t="s">
        <v>1951</v>
      </c>
      <c r="J130" s="30" t="s">
        <v>1956</v>
      </c>
      <c r="K130" s="30"/>
      <c r="L130" s="30"/>
      <c r="M130" s="31"/>
      <c r="N130" s="353"/>
    </row>
    <row r="131" spans="1:14" ht="53.25" customHeight="1">
      <c r="A131" s="47" t="s">
        <v>439</v>
      </c>
      <c r="B131" s="39" t="s">
        <v>440</v>
      </c>
      <c r="C131" s="40"/>
      <c r="D131" s="41"/>
      <c r="E131" s="41"/>
      <c r="F131" s="372" t="s">
        <v>1258</v>
      </c>
      <c r="G131" s="42">
        <f t="shared" si="15"/>
        <v>1</v>
      </c>
      <c r="H131" s="557"/>
      <c r="I131" s="371" t="s">
        <v>1692</v>
      </c>
      <c r="J131" s="30" t="s">
        <v>1956</v>
      </c>
      <c r="K131" s="30"/>
      <c r="L131" s="30"/>
      <c r="M131" s="31"/>
      <c r="N131" s="376" t="s">
        <v>1689</v>
      </c>
    </row>
    <row r="132" spans="1:14" ht="30" customHeight="1">
      <c r="A132" s="47" t="s">
        <v>441</v>
      </c>
      <c r="B132" s="39" t="s">
        <v>442</v>
      </c>
      <c r="C132" s="40"/>
      <c r="D132" s="41"/>
      <c r="E132" s="41"/>
      <c r="F132" s="23" t="s">
        <v>1258</v>
      </c>
      <c r="G132" s="42">
        <f t="shared" si="15"/>
        <v>1</v>
      </c>
      <c r="H132" s="557"/>
      <c r="I132" s="371" t="s">
        <v>1697</v>
      </c>
      <c r="J132" s="30" t="s">
        <v>1956</v>
      </c>
      <c r="K132" s="30"/>
      <c r="L132" s="30"/>
      <c r="M132" s="31"/>
      <c r="N132" s="376" t="s">
        <v>1689</v>
      </c>
    </row>
    <row r="133" spans="1:14" ht="37.5" customHeight="1">
      <c r="A133" s="47" t="s">
        <v>443</v>
      </c>
      <c r="B133" s="39" t="s">
        <v>444</v>
      </c>
      <c r="C133" s="40"/>
      <c r="D133" s="41"/>
      <c r="E133" s="41"/>
      <c r="F133" s="23" t="s">
        <v>1258</v>
      </c>
      <c r="G133" s="42">
        <f t="shared" si="15"/>
        <v>1</v>
      </c>
      <c r="H133" s="557"/>
      <c r="I133" s="369" t="s">
        <v>1694</v>
      </c>
      <c r="J133" s="30" t="s">
        <v>1956</v>
      </c>
      <c r="K133" s="30"/>
      <c r="L133" s="30"/>
      <c r="M133" s="31"/>
      <c r="N133" s="376" t="s">
        <v>1689</v>
      </c>
    </row>
    <row r="134" spans="1:14" ht="30" customHeight="1">
      <c r="A134" s="47" t="s">
        <v>445</v>
      </c>
      <c r="B134" s="39" t="s">
        <v>446</v>
      </c>
      <c r="C134" s="40"/>
      <c r="D134" s="41"/>
      <c r="E134" s="41"/>
      <c r="F134" s="23" t="s">
        <v>1258</v>
      </c>
      <c r="G134" s="42">
        <f t="shared" si="15"/>
        <v>1</v>
      </c>
      <c r="H134" s="557"/>
      <c r="I134" s="406" t="s">
        <v>1813</v>
      </c>
      <c r="J134" s="30" t="s">
        <v>1956</v>
      </c>
      <c r="K134" s="30"/>
      <c r="L134" s="30"/>
      <c r="M134" s="31"/>
      <c r="N134" s="376" t="s">
        <v>1645</v>
      </c>
    </row>
    <row r="135" spans="1:14" ht="26.25" customHeight="1">
      <c r="A135" s="47" t="s">
        <v>447</v>
      </c>
      <c r="B135" s="39" t="s">
        <v>448</v>
      </c>
      <c r="C135" s="40"/>
      <c r="D135" s="41"/>
      <c r="E135" s="41"/>
      <c r="F135" s="23" t="s">
        <v>1258</v>
      </c>
      <c r="G135" s="42">
        <f t="shared" si="15"/>
        <v>1</v>
      </c>
      <c r="H135" s="557"/>
      <c r="I135" s="369" t="s">
        <v>1814</v>
      </c>
      <c r="J135" s="30" t="s">
        <v>1956</v>
      </c>
      <c r="K135" s="30"/>
      <c r="L135" s="30"/>
      <c r="M135" s="31"/>
      <c r="N135" s="376" t="s">
        <v>1645</v>
      </c>
    </row>
    <row r="136" spans="1:14" ht="22.5" customHeight="1">
      <c r="A136" s="48" t="s">
        <v>449</v>
      </c>
      <c r="B136" s="33" t="s">
        <v>450</v>
      </c>
      <c r="C136" s="34" t="e">
        <f>VLOOKUP($B$3,[6]QATC06!$B$2:$BR$34,22,FALSE)</f>
        <v>#N/A</v>
      </c>
      <c r="D136" s="35"/>
      <c r="E136" s="35"/>
      <c r="F136" s="34"/>
      <c r="G136" s="36">
        <f>IF(COUNTIF(F137:F143,"Não se aplica")&gt;=2,"Não se aplica",IF(COUNTIF(F137:F143,"Sem classificação")&gt;=2,"Sem classificação",IF(COUNTIF(F137:F143,"Atende")&gt;=6,4,IF(COUNTIF(F137:F143,"Atende")&gt;=5,3,IF(COUNTIF(F137:F143,"Atende")&gt;=3,2,IF(COUNTIF(F137:F143,"Atende")&gt;=2,1,0))))))</f>
        <v>4</v>
      </c>
      <c r="H136" s="37"/>
      <c r="I136" s="127"/>
      <c r="J136" s="37"/>
      <c r="K136" s="37"/>
      <c r="L136" s="37"/>
      <c r="M136" s="37"/>
      <c r="N136" s="2"/>
    </row>
    <row r="137" spans="1:14" ht="33" customHeight="1">
      <c r="A137" s="47" t="s">
        <v>451</v>
      </c>
      <c r="B137" s="39" t="s">
        <v>452</v>
      </c>
      <c r="C137" s="40"/>
      <c r="D137" s="41"/>
      <c r="E137" s="41"/>
      <c r="F137" s="23" t="s">
        <v>1258</v>
      </c>
      <c r="G137" s="42">
        <f t="shared" ref="G137:G143" si="16">IF(F137="Atende",1,0)</f>
        <v>1</v>
      </c>
      <c r="H137" s="559" t="s">
        <v>413</v>
      </c>
      <c r="I137" s="374" t="s">
        <v>1698</v>
      </c>
      <c r="J137" s="30" t="s">
        <v>1956</v>
      </c>
      <c r="K137" s="30"/>
      <c r="L137" s="30"/>
      <c r="M137" s="31"/>
      <c r="N137" s="376" t="s">
        <v>1645</v>
      </c>
    </row>
    <row r="138" spans="1:14" ht="33" customHeight="1">
      <c r="A138" s="47" t="s">
        <v>453</v>
      </c>
      <c r="B138" s="39" t="s">
        <v>454</v>
      </c>
      <c r="C138" s="40"/>
      <c r="D138" s="41"/>
      <c r="E138" s="41"/>
      <c r="F138" s="23" t="s">
        <v>1258</v>
      </c>
      <c r="G138" s="42">
        <f t="shared" si="16"/>
        <v>1</v>
      </c>
      <c r="H138" s="557"/>
      <c r="I138" s="371" t="s">
        <v>1697</v>
      </c>
      <c r="J138" s="30" t="s">
        <v>1956</v>
      </c>
      <c r="K138" s="30"/>
      <c r="L138" s="30"/>
      <c r="M138" s="31"/>
      <c r="N138" s="376" t="s">
        <v>1645</v>
      </c>
    </row>
    <row r="139" spans="1:14" ht="41.25" customHeight="1">
      <c r="A139" s="47" t="s">
        <v>455</v>
      </c>
      <c r="B139" s="39" t="s">
        <v>456</v>
      </c>
      <c r="C139" s="40"/>
      <c r="D139" s="41"/>
      <c r="E139" s="41"/>
      <c r="F139" s="23" t="s">
        <v>1258</v>
      </c>
      <c r="G139" s="42">
        <f t="shared" si="16"/>
        <v>1</v>
      </c>
      <c r="H139" s="557"/>
      <c r="I139" s="371" t="s">
        <v>1696</v>
      </c>
      <c r="J139" s="30" t="s">
        <v>1956</v>
      </c>
      <c r="K139" s="30"/>
      <c r="L139" s="30"/>
      <c r="M139" s="31"/>
      <c r="N139" s="376" t="s">
        <v>1645</v>
      </c>
    </row>
    <row r="140" spans="1:14" ht="33.75" customHeight="1">
      <c r="A140" s="47" t="s">
        <v>457</v>
      </c>
      <c r="B140" s="39" t="s">
        <v>458</v>
      </c>
      <c r="C140" s="40"/>
      <c r="D140" s="41"/>
      <c r="E140" s="41"/>
      <c r="F140" s="23" t="s">
        <v>1258</v>
      </c>
      <c r="G140" s="42">
        <f t="shared" si="16"/>
        <v>1</v>
      </c>
      <c r="H140" s="557"/>
      <c r="I140" s="404" t="s">
        <v>1819</v>
      </c>
      <c r="J140" s="30" t="s">
        <v>1956</v>
      </c>
      <c r="K140" s="30"/>
      <c r="L140" s="30"/>
      <c r="M140" s="31"/>
      <c r="N140" s="412" t="s">
        <v>1778</v>
      </c>
    </row>
    <row r="141" spans="1:14" ht="58.5" customHeight="1">
      <c r="A141" s="47" t="s">
        <v>459</v>
      </c>
      <c r="B141" s="39" t="s">
        <v>460</v>
      </c>
      <c r="C141" s="40"/>
      <c r="D141" s="41"/>
      <c r="E141" s="41"/>
      <c r="F141" s="23" t="s">
        <v>1258</v>
      </c>
      <c r="G141" s="42">
        <f t="shared" si="16"/>
        <v>1</v>
      </c>
      <c r="H141" s="557"/>
      <c r="I141" s="373" t="s">
        <v>1787</v>
      </c>
      <c r="J141" s="30" t="s">
        <v>1956</v>
      </c>
      <c r="K141" s="30"/>
      <c r="L141" s="30"/>
      <c r="M141" s="31"/>
      <c r="N141" s="376" t="s">
        <v>1645</v>
      </c>
    </row>
    <row r="142" spans="1:14" ht="48" customHeight="1">
      <c r="A142" s="47" t="s">
        <v>461</v>
      </c>
      <c r="B142" s="39" t="s">
        <v>462</v>
      </c>
      <c r="C142" s="40"/>
      <c r="D142" s="41"/>
      <c r="E142" s="41"/>
      <c r="F142" s="421" t="s">
        <v>1258</v>
      </c>
      <c r="G142" s="42">
        <f t="shared" si="16"/>
        <v>1</v>
      </c>
      <c r="H142" s="557"/>
      <c r="I142" s="373" t="s">
        <v>1815</v>
      </c>
      <c r="J142" s="30" t="s">
        <v>1956</v>
      </c>
      <c r="K142" s="30"/>
      <c r="L142" s="30"/>
      <c r="M142" s="31"/>
      <c r="N142" s="376" t="s">
        <v>1645</v>
      </c>
    </row>
    <row r="143" spans="1:14" ht="52.5" customHeight="1">
      <c r="A143" s="47" t="s">
        <v>463</v>
      </c>
      <c r="B143" s="39" t="s">
        <v>464</v>
      </c>
      <c r="C143" s="40"/>
      <c r="D143" s="41"/>
      <c r="E143" s="41"/>
      <c r="F143" s="23" t="s">
        <v>1258</v>
      </c>
      <c r="G143" s="42">
        <f t="shared" si="16"/>
        <v>1</v>
      </c>
      <c r="H143" s="557"/>
      <c r="I143" s="373" t="s">
        <v>1701</v>
      </c>
      <c r="J143" s="30" t="s">
        <v>1956</v>
      </c>
      <c r="K143" s="30"/>
      <c r="L143" s="30"/>
      <c r="M143" s="31"/>
      <c r="N143" s="376" t="s">
        <v>1645</v>
      </c>
    </row>
    <row r="144" spans="1:14" ht="24" customHeight="1">
      <c r="A144" s="48" t="s">
        <v>465</v>
      </c>
      <c r="B144" s="33" t="s">
        <v>466</v>
      </c>
      <c r="C144" s="34" t="e">
        <f>VLOOKUP($B$3,[6]QATC06!$B$2:$BR$34,39,FALSE)</f>
        <v>#N/A</v>
      </c>
      <c r="D144" s="35"/>
      <c r="E144" s="35"/>
      <c r="F144" s="37"/>
      <c r="G144" s="36">
        <f>IF(COUNTIF(F145:F150,"Não se aplica")&gt;=2,"Não se aplica",IF(COUNTIF(F145:F150,"Sem classificação")&gt;=2,"Sem classificação",IF(COUNTIF(F145:F150,"Atende")=6,4,IF(COUNTIF(F145:F150,"Atende")&gt;=5,3,IF(COUNTIF(F145:F150,"Atende")&gt;=3,2,IF(COUNTIF(F145:F150,"Atende")&gt;=1,1,0))))))</f>
        <v>2</v>
      </c>
      <c r="H144" s="37"/>
      <c r="I144" s="127"/>
      <c r="J144" s="37"/>
      <c r="K144" s="37"/>
      <c r="L144" s="37"/>
      <c r="M144" s="37"/>
      <c r="N144" s="2"/>
    </row>
    <row r="145" spans="1:14" ht="55.5" customHeight="1">
      <c r="A145" s="47" t="s">
        <v>467</v>
      </c>
      <c r="B145" s="39" t="s">
        <v>468</v>
      </c>
      <c r="C145" s="40"/>
      <c r="D145" s="41"/>
      <c r="E145" s="41"/>
      <c r="F145" s="421" t="s">
        <v>1258</v>
      </c>
      <c r="G145" s="42">
        <f t="shared" ref="G145:G150" si="17">IF(F145="Atende",1,0)</f>
        <v>1</v>
      </c>
      <c r="H145" s="559" t="s">
        <v>469</v>
      </c>
      <c r="I145" s="408" t="s">
        <v>1777</v>
      </c>
      <c r="J145" s="30" t="s">
        <v>1956</v>
      </c>
      <c r="K145" s="30"/>
      <c r="L145" s="30"/>
      <c r="M145" s="31"/>
      <c r="N145" s="2"/>
    </row>
    <row r="146" spans="1:14" ht="43.5" customHeight="1">
      <c r="A146" s="47" t="s">
        <v>470</v>
      </c>
      <c r="B146" s="387" t="s">
        <v>471</v>
      </c>
      <c r="C146" s="40"/>
      <c r="D146" s="41"/>
      <c r="E146" s="41"/>
      <c r="F146" s="23"/>
      <c r="G146" s="42">
        <f t="shared" si="17"/>
        <v>0</v>
      </c>
      <c r="H146" s="557"/>
      <c r="I146" s="409"/>
      <c r="J146" s="30"/>
      <c r="K146" s="30"/>
      <c r="L146" s="30"/>
      <c r="M146" s="31"/>
      <c r="N146" s="376"/>
    </row>
    <row r="147" spans="1:14" ht="44.25" customHeight="1">
      <c r="A147" s="47" t="s">
        <v>472</v>
      </c>
      <c r="B147" s="39" t="s">
        <v>473</v>
      </c>
      <c r="C147" s="40"/>
      <c r="D147" s="41"/>
      <c r="E147" s="41"/>
      <c r="F147" s="421" t="s">
        <v>1258</v>
      </c>
      <c r="G147" s="42">
        <f t="shared" si="17"/>
        <v>1</v>
      </c>
      <c r="H147" s="557"/>
      <c r="I147" s="411" t="s">
        <v>1783</v>
      </c>
      <c r="J147" s="30" t="s">
        <v>1956</v>
      </c>
      <c r="K147" s="30"/>
      <c r="L147" s="30"/>
      <c r="M147" s="31"/>
      <c r="N147" s="376" t="s">
        <v>1782</v>
      </c>
    </row>
    <row r="148" spans="1:14" ht="107.25" customHeight="1">
      <c r="A148" s="47" t="s">
        <v>474</v>
      </c>
      <c r="B148" s="39" t="s">
        <v>475</v>
      </c>
      <c r="C148" s="40"/>
      <c r="D148" s="41"/>
      <c r="E148" s="41"/>
      <c r="F148" s="421" t="s">
        <v>1258</v>
      </c>
      <c r="G148" s="42">
        <f t="shared" si="17"/>
        <v>1</v>
      </c>
      <c r="H148" s="557"/>
      <c r="I148" s="410" t="s">
        <v>1779</v>
      </c>
      <c r="J148" s="30" t="s">
        <v>1956</v>
      </c>
      <c r="K148" s="30"/>
      <c r="L148" s="30"/>
      <c r="M148" s="31"/>
      <c r="N148" s="376" t="s">
        <v>1647</v>
      </c>
    </row>
    <row r="149" spans="1:14" ht="42.75" customHeight="1">
      <c r="A149" s="47" t="s">
        <v>476</v>
      </c>
      <c r="B149" s="39" t="s">
        <v>477</v>
      </c>
      <c r="C149" s="40"/>
      <c r="D149" s="41"/>
      <c r="E149" s="41"/>
      <c r="F149" s="421" t="s">
        <v>1258</v>
      </c>
      <c r="G149" s="42">
        <f t="shared" si="17"/>
        <v>1</v>
      </c>
      <c r="H149" s="557"/>
      <c r="I149" s="405" t="s">
        <v>1822</v>
      </c>
      <c r="J149" s="30" t="s">
        <v>1956</v>
      </c>
      <c r="K149" s="30"/>
      <c r="L149" s="30"/>
      <c r="M149" s="31"/>
      <c r="N149" s="376" t="s">
        <v>1647</v>
      </c>
    </row>
    <row r="150" spans="1:14" ht="66" customHeight="1">
      <c r="A150" s="47" t="s">
        <v>478</v>
      </c>
      <c r="B150" s="387" t="s">
        <v>479</v>
      </c>
      <c r="C150" s="40"/>
      <c r="D150" s="41"/>
      <c r="E150" s="41"/>
      <c r="F150" s="23"/>
      <c r="G150" s="42">
        <f t="shared" si="17"/>
        <v>0</v>
      </c>
      <c r="H150" s="557"/>
      <c r="I150" s="39"/>
      <c r="J150" s="30"/>
      <c r="K150" s="30"/>
      <c r="L150" s="30"/>
      <c r="M150" s="31"/>
      <c r="N150" s="2"/>
    </row>
    <row r="151" spans="1:14" ht="28.5" customHeight="1">
      <c r="A151" s="91" t="s">
        <v>480</v>
      </c>
      <c r="B151" s="92" t="s">
        <v>481</v>
      </c>
      <c r="C151" s="13"/>
      <c r="D151" s="94"/>
      <c r="E151" s="17">
        <f>SUM(G153,G158)</f>
        <v>5</v>
      </c>
      <c r="F151" s="95"/>
      <c r="G151" s="19" t="str">
        <f>IF(H151&gt;=2,"Não se aplica",IF(I151&gt;=2,"Sem classificação",IF(F151=4,IF(E151&lt;=2,0,IF(E151&lt;=6,1,IF(E151&lt;=10,2,IF(E151&lt;=14,3,4)))),IF(F151=3,ROUND(AVERAGE(G153,G158),0),IF(F151=2,ROUNDDOWN(AVERAGE(G153,G158),0),"Não se aplica")))))</f>
        <v>Não se aplica</v>
      </c>
      <c r="H151" s="20">
        <f>COUNTIF(G153:G158,"Não se aplica")</f>
        <v>0</v>
      </c>
      <c r="I151" s="21"/>
      <c r="J151" s="22"/>
      <c r="K151" s="22"/>
      <c r="L151" s="22"/>
      <c r="M151" s="22"/>
      <c r="N151" s="2"/>
    </row>
    <row r="152" spans="1:14" ht="17.25" customHeight="1">
      <c r="A152" s="54" t="s">
        <v>18</v>
      </c>
      <c r="B152" s="55" t="s">
        <v>19</v>
      </c>
      <c r="C152" s="25"/>
      <c r="D152" s="26"/>
      <c r="E152" s="26"/>
      <c r="F152" s="56"/>
      <c r="G152" s="28"/>
      <c r="H152" s="29"/>
      <c r="I152" s="30"/>
      <c r="J152" s="30"/>
      <c r="K152" s="30"/>
      <c r="L152" s="30"/>
      <c r="M152" s="30"/>
      <c r="N152" s="2"/>
    </row>
    <row r="153" spans="1:14" ht="21.75" customHeight="1">
      <c r="A153" s="48" t="s">
        <v>482</v>
      </c>
      <c r="B153" s="33" t="s">
        <v>483</v>
      </c>
      <c r="C153" s="34" t="e">
        <f>VLOOKUP($B$3,[7]QATC07!$B$2:$T$34,2,FALSE)</f>
        <v>#N/A</v>
      </c>
      <c r="D153" s="35"/>
      <c r="E153" s="35"/>
      <c r="F153" s="37"/>
      <c r="G153" s="97">
        <f>IF(COUNTIF(F154:F157,"Não se aplica")&gt;=2,"Não se aplica",IF(COUNTIF(F154:F157,"Sem classificação")&gt;=2,"Sem classificação",IF(COUNTIF(F154:F157,"Atende")=4,4,IF(COUNTIF(F154:F157,"Atende")=3,3,IF(COUNTIF(F154:F157,"Atende")=2,2,IF(COUNTIF(F154:F157,"Atende")=1,1,0))))))</f>
        <v>4</v>
      </c>
      <c r="H153" s="34"/>
      <c r="I153" s="37"/>
      <c r="J153" s="37"/>
      <c r="K153" s="37"/>
      <c r="L153" s="37"/>
      <c r="M153" s="37"/>
      <c r="N153" s="2"/>
    </row>
    <row r="154" spans="1:14" ht="28.5" customHeight="1">
      <c r="A154" s="47" t="s">
        <v>484</v>
      </c>
      <c r="B154" s="39" t="s">
        <v>333</v>
      </c>
      <c r="C154" s="40"/>
      <c r="D154" s="41"/>
      <c r="E154" s="41"/>
      <c r="F154" s="23" t="s">
        <v>1258</v>
      </c>
      <c r="G154" s="42">
        <f t="shared" ref="G154:G157" si="18">IF(F154="Atende",1,0)</f>
        <v>1</v>
      </c>
      <c r="H154" s="556" t="s">
        <v>485</v>
      </c>
      <c r="I154" s="277" t="s">
        <v>1686</v>
      </c>
      <c r="J154" s="30" t="s">
        <v>1956</v>
      </c>
      <c r="K154" s="30"/>
      <c r="L154" s="30"/>
      <c r="M154" s="30"/>
      <c r="N154" s="376" t="s">
        <v>1646</v>
      </c>
    </row>
    <row r="155" spans="1:14" ht="30" customHeight="1">
      <c r="A155" s="47" t="s">
        <v>486</v>
      </c>
      <c r="B155" s="39" t="s">
        <v>487</v>
      </c>
      <c r="C155" s="40"/>
      <c r="D155" s="41"/>
      <c r="E155" s="41"/>
      <c r="F155" s="23" t="s">
        <v>1258</v>
      </c>
      <c r="G155" s="42">
        <f t="shared" si="18"/>
        <v>1</v>
      </c>
      <c r="H155" s="557"/>
      <c r="I155" s="277" t="s">
        <v>1759</v>
      </c>
      <c r="J155" s="30" t="s">
        <v>1956</v>
      </c>
      <c r="K155" s="30"/>
      <c r="L155" s="30"/>
      <c r="M155" s="30"/>
      <c r="N155" s="376" t="s">
        <v>1646</v>
      </c>
    </row>
    <row r="156" spans="1:14" ht="21.75" customHeight="1">
      <c r="A156" s="47" t="s">
        <v>488</v>
      </c>
      <c r="B156" s="39" t="s">
        <v>489</v>
      </c>
      <c r="C156" s="40"/>
      <c r="D156" s="41"/>
      <c r="E156" s="41"/>
      <c r="F156" s="23" t="s">
        <v>1258</v>
      </c>
      <c r="G156" s="42">
        <f t="shared" si="18"/>
        <v>1</v>
      </c>
      <c r="H156" s="557"/>
      <c r="I156" s="277" t="s">
        <v>1525</v>
      </c>
      <c r="J156" s="30" t="s">
        <v>1956</v>
      </c>
      <c r="K156" s="30"/>
      <c r="L156" s="30"/>
      <c r="M156" s="30"/>
      <c r="N156" s="376" t="s">
        <v>1646</v>
      </c>
    </row>
    <row r="157" spans="1:14" ht="78.75">
      <c r="A157" s="47" t="s">
        <v>490</v>
      </c>
      <c r="B157" s="387" t="s">
        <v>491</v>
      </c>
      <c r="C157" s="40"/>
      <c r="D157" s="41"/>
      <c r="E157" s="41"/>
      <c r="F157" s="421" t="s">
        <v>1258</v>
      </c>
      <c r="G157" s="42">
        <f t="shared" si="18"/>
        <v>1</v>
      </c>
      <c r="H157" s="557"/>
      <c r="I157" s="384" t="s">
        <v>1885</v>
      </c>
      <c r="J157" s="30" t="s">
        <v>1956</v>
      </c>
      <c r="K157" s="30"/>
      <c r="L157" s="30"/>
      <c r="M157" s="30"/>
      <c r="N157" s="376" t="s">
        <v>1646</v>
      </c>
    </row>
    <row r="158" spans="1:14" ht="24.75" customHeight="1">
      <c r="A158" s="48" t="s">
        <v>492</v>
      </c>
      <c r="B158" s="33" t="s">
        <v>493</v>
      </c>
      <c r="C158" s="34" t="e">
        <f>VLOOKUP($B$3,[7]QATC07!$B$2:$T$34,11,FALSE)</f>
        <v>#N/A</v>
      </c>
      <c r="D158" s="35"/>
      <c r="E158" s="35"/>
      <c r="F158" s="37"/>
      <c r="G158" s="36">
        <f>IF(COUNTIF(F159:F162,"Não se aplica")&gt;=2,"Não se aplica",IF(COUNTIF(F159:F162,"Sem classificação")&gt;=2,"Sem classificação",IF(COUNTIF(F159:F162,"Atende")=4,4,IF(COUNTIF(F159:F162,"Atende")&gt;=3,3,IF(COUNTIF(F159:F162,"Atende")&gt;=2,2,IF(COUNTIF(F159:F162,"Atende")=1,1,0))))))</f>
        <v>1</v>
      </c>
      <c r="H158" s="37"/>
      <c r="I158" s="127"/>
      <c r="J158" s="37"/>
      <c r="K158" s="37"/>
      <c r="L158" s="37"/>
      <c r="M158" s="37"/>
      <c r="N158" s="2"/>
    </row>
    <row r="159" spans="1:14" ht="24.75" customHeight="1">
      <c r="A159" s="47" t="s">
        <v>494</v>
      </c>
      <c r="B159" s="387" t="s">
        <v>495</v>
      </c>
      <c r="C159" s="40"/>
      <c r="D159" s="41"/>
      <c r="E159" s="41"/>
      <c r="F159" s="23"/>
      <c r="G159" s="42">
        <f t="shared" ref="G159:G162" si="19">IF(F159="Atende",1,0)</f>
        <v>0</v>
      </c>
      <c r="H159" s="558" t="s">
        <v>289</v>
      </c>
      <c r="I159" s="278" t="s">
        <v>1526</v>
      </c>
      <c r="J159" s="30"/>
      <c r="K159" s="30"/>
      <c r="L159" s="30"/>
      <c r="M159" s="30"/>
      <c r="N159" s="2"/>
    </row>
    <row r="160" spans="1:14" ht="24.75" customHeight="1">
      <c r="A160" s="47" t="s">
        <v>496</v>
      </c>
      <c r="B160" s="387" t="s">
        <v>497</v>
      </c>
      <c r="C160" s="40"/>
      <c r="D160" s="41"/>
      <c r="E160" s="41"/>
      <c r="F160" s="23"/>
      <c r="G160" s="42">
        <f t="shared" si="19"/>
        <v>0</v>
      </c>
      <c r="H160" s="557"/>
      <c r="I160" s="279" t="s">
        <v>1526</v>
      </c>
      <c r="J160" s="30"/>
      <c r="K160" s="30"/>
      <c r="L160" s="30"/>
      <c r="M160" s="30"/>
      <c r="N160" s="2"/>
    </row>
    <row r="161" spans="1:14" ht="59.25" customHeight="1">
      <c r="A161" s="47" t="s">
        <v>498</v>
      </c>
      <c r="B161" s="387" t="s">
        <v>499</v>
      </c>
      <c r="C161" s="40"/>
      <c r="D161" s="41"/>
      <c r="E161" s="41"/>
      <c r="F161" s="23" t="s">
        <v>1258</v>
      </c>
      <c r="G161" s="42">
        <f t="shared" si="19"/>
        <v>1</v>
      </c>
      <c r="H161" s="557"/>
      <c r="I161" s="428" t="s">
        <v>1851</v>
      </c>
      <c r="J161" s="30" t="s">
        <v>1956</v>
      </c>
      <c r="K161" s="30"/>
      <c r="L161" s="30"/>
      <c r="M161" s="30"/>
      <c r="N161" s="2"/>
    </row>
    <row r="162" spans="1:14" ht="42" customHeight="1">
      <c r="A162" s="100" t="s">
        <v>500</v>
      </c>
      <c r="B162" s="387" t="s">
        <v>501</v>
      </c>
      <c r="C162" s="40"/>
      <c r="D162" s="41"/>
      <c r="E162" s="41"/>
      <c r="F162" s="23"/>
      <c r="G162" s="42">
        <f t="shared" si="19"/>
        <v>0</v>
      </c>
      <c r="H162" s="557"/>
      <c r="I162" s="279" t="s">
        <v>1527</v>
      </c>
      <c r="J162" s="30"/>
      <c r="K162" s="30"/>
      <c r="L162" s="30"/>
      <c r="M162" s="30"/>
      <c r="N162" s="2"/>
    </row>
    <row r="163" spans="1:14" ht="36.75" customHeight="1">
      <c r="A163" s="550" t="s">
        <v>502</v>
      </c>
      <c r="B163" s="551"/>
      <c r="C163" s="46" t="s">
        <v>503</v>
      </c>
      <c r="D163" s="51"/>
      <c r="E163" s="51"/>
      <c r="F163" s="46"/>
      <c r="G163" s="46"/>
      <c r="H163" s="46"/>
      <c r="I163" s="46"/>
      <c r="J163" s="46"/>
      <c r="K163" s="46"/>
      <c r="L163" s="46"/>
      <c r="M163" s="46"/>
      <c r="N163" s="2"/>
    </row>
    <row r="164" spans="1:14" ht="27" customHeight="1">
      <c r="A164" s="15" t="s">
        <v>504</v>
      </c>
      <c r="B164" s="52" t="s">
        <v>505</v>
      </c>
      <c r="C164" s="13" t="s">
        <v>506</v>
      </c>
      <c r="D164" s="53"/>
      <c r="E164" s="17">
        <f>SUM(G166,G173,G181,G188)</f>
        <v>11</v>
      </c>
      <c r="F164" s="18"/>
      <c r="G164" s="19" t="str">
        <f>IF(H164&gt;=2,"Não se aplica",IF(I164&gt;=2,"Sem classificação",IF(F164=4,IF(E164&lt;=2,0,IF(E164&lt;=6,1,IF(E164&lt;=10,2,IF(E164&lt;=14,3,4)))),IF(F164=3,ROUND(AVERAGE(G166,G173,G181,G188),0),IF(F164=2,ROUNDDOWN(AVERAGE(G166,G173,G181,G188),0),"Não se aplica")))))</f>
        <v>Não se aplica</v>
      </c>
      <c r="H164" s="20">
        <f>COUNTIF(G166:G188,"Não se aplica")</f>
        <v>0</v>
      </c>
      <c r="I164" s="21"/>
      <c r="J164" s="22"/>
      <c r="K164" s="22"/>
      <c r="L164" s="22"/>
      <c r="M164" s="22"/>
      <c r="N164" s="2"/>
    </row>
    <row r="165" spans="1:14" ht="18.75" customHeight="1">
      <c r="A165" s="54" t="s">
        <v>18</v>
      </c>
      <c r="B165" s="55" t="s">
        <v>19</v>
      </c>
      <c r="C165" s="25"/>
      <c r="D165" s="26"/>
      <c r="E165" s="139"/>
      <c r="F165" s="140"/>
      <c r="G165" s="56"/>
      <c r="H165" s="29"/>
      <c r="I165" s="30"/>
      <c r="J165" s="30"/>
      <c r="K165" s="30"/>
      <c r="L165" s="30"/>
      <c r="M165" s="30"/>
      <c r="N165" s="2"/>
    </row>
    <row r="166" spans="1:14" ht="25.5" customHeight="1">
      <c r="A166" s="48" t="s">
        <v>507</v>
      </c>
      <c r="B166" s="33" t="s">
        <v>508</v>
      </c>
      <c r="C166" s="34" t="e">
        <f>VLOOKUP($B$3,[8]QATC08!$B$2:$BP$34,2,FALSE)</f>
        <v>#N/A</v>
      </c>
      <c r="D166" s="35"/>
      <c r="E166" s="35"/>
      <c r="F166" s="37"/>
      <c r="G166" s="97">
        <f>IF(COUNTIF(F167:F172,"Não se aplica")&gt;=2,"Não se aplica",IF(COUNTIF(F167:F172,"Sem classificação")&gt;=2,"Sem classificação",IF(COUNTIF(F167:F172,"Atende")=6,4,IF(COUNTIF(F167:F172,"Atende")&gt;=4,3,IF(COUNTIF(F167:F172,"Atende")&gt;=2,2,IF(COUNTIF(F167:F172,"Atende")=1,1,0))))))</f>
        <v>4</v>
      </c>
      <c r="H166" s="34"/>
      <c r="I166" s="141"/>
      <c r="J166" s="141"/>
      <c r="K166" s="141"/>
      <c r="L166" s="37"/>
      <c r="M166" s="37"/>
      <c r="N166" s="2"/>
    </row>
    <row r="167" spans="1:14" ht="77.25" customHeight="1">
      <c r="A167" s="47" t="s">
        <v>509</v>
      </c>
      <c r="B167" s="39" t="s">
        <v>510</v>
      </c>
      <c r="C167" s="40"/>
      <c r="D167" s="41"/>
      <c r="E167" s="41"/>
      <c r="F167" s="23" t="s">
        <v>1258</v>
      </c>
      <c r="G167" s="42">
        <f t="shared" ref="G167:G172" si="20">IF(F167="Atende",1,0)</f>
        <v>1</v>
      </c>
      <c r="H167" s="561" t="s">
        <v>266</v>
      </c>
      <c r="I167" s="280" t="s">
        <v>1528</v>
      </c>
      <c r="J167" s="142" t="s">
        <v>1956</v>
      </c>
      <c r="K167" s="30"/>
      <c r="L167" s="30"/>
      <c r="M167" s="30"/>
      <c r="N167" s="390" t="s">
        <v>1533</v>
      </c>
    </row>
    <row r="168" spans="1:14" ht="74.25" customHeight="1">
      <c r="A168" s="47" t="s">
        <v>511</v>
      </c>
      <c r="B168" s="39" t="s">
        <v>512</v>
      </c>
      <c r="C168" s="40"/>
      <c r="D168" s="41"/>
      <c r="E168" s="41"/>
      <c r="F168" s="23" t="s">
        <v>1258</v>
      </c>
      <c r="G168" s="42">
        <f t="shared" si="20"/>
        <v>1</v>
      </c>
      <c r="H168" s="557"/>
      <c r="I168" s="281" t="s">
        <v>1528</v>
      </c>
      <c r="J168" s="142" t="s">
        <v>1956</v>
      </c>
      <c r="K168" s="30"/>
      <c r="L168" s="30"/>
      <c r="M168" s="30"/>
      <c r="N168" s="394" t="s">
        <v>1534</v>
      </c>
    </row>
    <row r="169" spans="1:14" ht="166.5" customHeight="1">
      <c r="A169" s="47" t="s">
        <v>513</v>
      </c>
      <c r="B169" s="39" t="s">
        <v>514</v>
      </c>
      <c r="C169" s="40"/>
      <c r="D169" s="41"/>
      <c r="E169" s="41"/>
      <c r="F169" s="23" t="s">
        <v>1258</v>
      </c>
      <c r="G169" s="42">
        <f t="shared" si="20"/>
        <v>1</v>
      </c>
      <c r="H169" s="557"/>
      <c r="I169" s="282" t="s">
        <v>1529</v>
      </c>
      <c r="J169" s="142" t="s">
        <v>1956</v>
      </c>
      <c r="K169" s="30"/>
      <c r="L169" s="30"/>
      <c r="M169" s="30"/>
      <c r="N169" s="391" t="s">
        <v>1535</v>
      </c>
    </row>
    <row r="170" spans="1:14" ht="57" customHeight="1">
      <c r="A170" s="47" t="s">
        <v>515</v>
      </c>
      <c r="B170" s="39" t="s">
        <v>516</v>
      </c>
      <c r="C170" s="40"/>
      <c r="D170" s="41"/>
      <c r="E170" s="41"/>
      <c r="F170" s="23" t="s">
        <v>1258</v>
      </c>
      <c r="G170" s="42">
        <f t="shared" si="20"/>
        <v>1</v>
      </c>
      <c r="H170" s="557"/>
      <c r="I170" s="283" t="s">
        <v>1530</v>
      </c>
      <c r="J170" s="142" t="s">
        <v>1956</v>
      </c>
      <c r="K170" s="30"/>
      <c r="L170" s="30"/>
      <c r="M170" s="30"/>
      <c r="N170" s="391" t="s">
        <v>1536</v>
      </c>
    </row>
    <row r="171" spans="1:14" ht="76.5" customHeight="1">
      <c r="A171" s="47" t="s">
        <v>517</v>
      </c>
      <c r="B171" s="39" t="s">
        <v>518</v>
      </c>
      <c r="C171" s="40"/>
      <c r="D171" s="41"/>
      <c r="E171" s="41"/>
      <c r="F171" s="23" t="s">
        <v>1258</v>
      </c>
      <c r="G171" s="42">
        <f t="shared" si="20"/>
        <v>1</v>
      </c>
      <c r="H171" s="557"/>
      <c r="I171" s="284" t="s">
        <v>1531</v>
      </c>
      <c r="J171" s="143" t="s">
        <v>1956</v>
      </c>
      <c r="K171" s="30"/>
      <c r="L171" s="30"/>
      <c r="M171" s="30"/>
      <c r="N171" s="391" t="s">
        <v>1537</v>
      </c>
    </row>
    <row r="172" spans="1:14" ht="29.25" customHeight="1">
      <c r="A172" s="47" t="s">
        <v>519</v>
      </c>
      <c r="B172" s="39" t="s">
        <v>520</v>
      </c>
      <c r="C172" s="144"/>
      <c r="D172" s="41"/>
      <c r="E172" s="41"/>
      <c r="F172" s="23" t="s">
        <v>1258</v>
      </c>
      <c r="G172" s="42">
        <f t="shared" si="20"/>
        <v>1</v>
      </c>
      <c r="H172" s="557"/>
      <c r="I172" s="285" t="s">
        <v>1532</v>
      </c>
      <c r="J172" s="143" t="s">
        <v>1956</v>
      </c>
      <c r="K172" s="30"/>
      <c r="L172" s="30"/>
      <c r="M172" s="30"/>
      <c r="N172" s="391" t="s">
        <v>1538</v>
      </c>
    </row>
    <row r="173" spans="1:14" ht="21.75" customHeight="1">
      <c r="A173" s="48" t="s">
        <v>521</v>
      </c>
      <c r="B173" s="33" t="s">
        <v>522</v>
      </c>
      <c r="C173" s="34" t="e">
        <f>VLOOKUP($B$3,[8]QATC08!$B$2:$BP$34,17,FALSE)</f>
        <v>#N/A</v>
      </c>
      <c r="D173" s="35"/>
      <c r="E173" s="101"/>
      <c r="F173" s="102"/>
      <c r="G173" s="37">
        <f>IF(COUNTIF(F174:F180,"Não se aplica")&gt;=2,"Não se aplica",IF(COUNTIF(F174:F180,"Sem classificação")&gt;=2,"Sem classificação",IF(COUNTIF(F174:F180,"Atende")=7,4,IF(COUNTIF(F174:F180,"Atende")&gt;=5,3,IF(COUNTIF(F174:F180,"Atende")&gt;=3,2,IF(COUNTIF(F174:F180,"Atende")&gt;=1,1,0))))))</f>
        <v>3</v>
      </c>
      <c r="H173" s="37"/>
      <c r="I173" s="145"/>
      <c r="J173" s="146"/>
      <c r="K173" s="147"/>
      <c r="L173" s="37"/>
      <c r="M173" s="37"/>
      <c r="N173" s="2"/>
    </row>
    <row r="174" spans="1:14" ht="39" customHeight="1">
      <c r="A174" s="47" t="s">
        <v>523</v>
      </c>
      <c r="B174" s="39" t="s">
        <v>524</v>
      </c>
      <c r="C174" s="40"/>
      <c r="D174" s="41"/>
      <c r="E174" s="41"/>
      <c r="F174" s="23" t="s">
        <v>1258</v>
      </c>
      <c r="G174" s="42">
        <f t="shared" ref="G174:G180" si="21">IF(F174="Atende",1,0)</f>
        <v>1</v>
      </c>
      <c r="H174" s="576" t="s">
        <v>525</v>
      </c>
      <c r="I174" s="286" t="s">
        <v>1539</v>
      </c>
      <c r="J174" s="148" t="s">
        <v>1956</v>
      </c>
      <c r="K174" s="30"/>
      <c r="L174" s="30"/>
      <c r="M174" s="30"/>
      <c r="N174" s="390" t="s">
        <v>1544</v>
      </c>
    </row>
    <row r="175" spans="1:14" ht="41.25" customHeight="1">
      <c r="A175" s="47" t="s">
        <v>526</v>
      </c>
      <c r="B175" s="39" t="s">
        <v>527</v>
      </c>
      <c r="C175" s="40"/>
      <c r="D175" s="41"/>
      <c r="E175" s="41"/>
      <c r="F175" s="23"/>
      <c r="G175" s="42">
        <f t="shared" si="21"/>
        <v>0</v>
      </c>
      <c r="H175" s="567"/>
      <c r="I175" s="287" t="s">
        <v>1540</v>
      </c>
      <c r="J175" s="148"/>
      <c r="K175" s="30"/>
      <c r="L175" s="30"/>
      <c r="M175" s="30"/>
      <c r="N175" s="391" t="s">
        <v>1545</v>
      </c>
    </row>
    <row r="176" spans="1:14" ht="46.5" customHeight="1">
      <c r="A176" s="47" t="s">
        <v>528</v>
      </c>
      <c r="B176" s="39" t="s">
        <v>529</v>
      </c>
      <c r="C176" s="40"/>
      <c r="D176" s="41"/>
      <c r="E176" s="41"/>
      <c r="F176" s="23" t="s">
        <v>1258</v>
      </c>
      <c r="G176" s="42">
        <f t="shared" si="21"/>
        <v>1</v>
      </c>
      <c r="H176" s="567"/>
      <c r="I176" s="546" t="s">
        <v>1958</v>
      </c>
      <c r="J176" s="148" t="s">
        <v>1956</v>
      </c>
      <c r="K176" s="30"/>
      <c r="L176" s="30"/>
      <c r="M176" s="30"/>
      <c r="N176" s="390" t="s">
        <v>1546</v>
      </c>
    </row>
    <row r="177" spans="1:14" ht="36" customHeight="1">
      <c r="A177" s="47" t="s">
        <v>530</v>
      </c>
      <c r="B177" s="39" t="s">
        <v>531</v>
      </c>
      <c r="C177" s="40"/>
      <c r="D177" s="41"/>
      <c r="E177" s="41"/>
      <c r="F177" s="23" t="s">
        <v>1258</v>
      </c>
      <c r="G177" s="42">
        <f t="shared" si="21"/>
        <v>1</v>
      </c>
      <c r="H177" s="567"/>
      <c r="I177" s="288" t="s">
        <v>1541</v>
      </c>
      <c r="J177" s="30" t="s">
        <v>1956</v>
      </c>
      <c r="K177" s="30"/>
      <c r="L177" s="30"/>
      <c r="M177" s="30"/>
      <c r="N177" s="395" t="s">
        <v>1954</v>
      </c>
    </row>
    <row r="178" spans="1:14" ht="30" customHeight="1">
      <c r="A178" s="47" t="s">
        <v>532</v>
      </c>
      <c r="B178" s="39" t="s">
        <v>533</v>
      </c>
      <c r="C178" s="40"/>
      <c r="D178" s="41"/>
      <c r="E178" s="41"/>
      <c r="F178" s="23" t="s">
        <v>1258</v>
      </c>
      <c r="G178" s="42">
        <f t="shared" si="21"/>
        <v>1</v>
      </c>
      <c r="H178" s="567"/>
      <c r="I178" s="289" t="s">
        <v>1542</v>
      </c>
      <c r="J178" s="149" t="s">
        <v>1956</v>
      </c>
      <c r="K178" s="30"/>
      <c r="L178" s="30"/>
      <c r="M178" s="30"/>
      <c r="N178" s="396" t="s">
        <v>1547</v>
      </c>
    </row>
    <row r="179" spans="1:14" ht="36.75" customHeight="1">
      <c r="A179" s="47" t="s">
        <v>534</v>
      </c>
      <c r="B179" s="39" t="s">
        <v>535</v>
      </c>
      <c r="C179" s="40"/>
      <c r="D179" s="41"/>
      <c r="E179" s="41"/>
      <c r="F179" s="23" t="s">
        <v>1258</v>
      </c>
      <c r="G179" s="42">
        <f t="shared" si="21"/>
        <v>1</v>
      </c>
      <c r="H179" s="567"/>
      <c r="I179" s="290" t="s">
        <v>1543</v>
      </c>
      <c r="J179" s="149" t="s">
        <v>1956</v>
      </c>
      <c r="K179" s="30"/>
      <c r="L179" s="30"/>
      <c r="M179" s="30"/>
      <c r="N179" s="395" t="s">
        <v>1548</v>
      </c>
    </row>
    <row r="180" spans="1:14" ht="77.25" customHeight="1">
      <c r="A180" s="47" t="s">
        <v>536</v>
      </c>
      <c r="B180" s="39" t="s">
        <v>537</v>
      </c>
      <c r="C180" s="40"/>
      <c r="D180" s="41"/>
      <c r="E180" s="41"/>
      <c r="F180" s="23" t="s">
        <v>1258</v>
      </c>
      <c r="G180" s="42">
        <f t="shared" si="21"/>
        <v>1</v>
      </c>
      <c r="H180" s="567"/>
      <c r="I180" s="547" t="s">
        <v>1959</v>
      </c>
      <c r="J180" s="149" t="s">
        <v>1956</v>
      </c>
      <c r="K180" s="30"/>
      <c r="L180" s="30"/>
      <c r="M180" s="30"/>
      <c r="N180" s="395" t="s">
        <v>1549</v>
      </c>
    </row>
    <row r="181" spans="1:14" ht="22.5" customHeight="1">
      <c r="A181" s="48" t="s">
        <v>538</v>
      </c>
      <c r="B181" s="33" t="s">
        <v>539</v>
      </c>
      <c r="C181" s="34" t="e">
        <f>VLOOKUP($B$3,[8]QATC08!$B$2:$BP$34,38,FALSE)</f>
        <v>#N/A</v>
      </c>
      <c r="D181" s="35"/>
      <c r="E181" s="101"/>
      <c r="F181" s="102"/>
      <c r="G181" s="37">
        <f>IF(COUNTIF(F182:F187,"Não se aplica")&gt;=2,"Não se aplica",IF(COUNTIF(F182:F187,"Sem classificação")&gt;=2,"Sem classificação",IF(COUNTIF(F182:F187,"Atende")=6,4,IF(COUNTIF(F182:F187,"Atende")&gt;=5,3,IF(COUNTIF(F182:F187,"Atende")&gt;=3,2,IF(COUNTIF(F182:F187,"Atende")&gt;=1,1,0))))))</f>
        <v>2</v>
      </c>
      <c r="H181" s="34"/>
      <c r="I181" s="34"/>
      <c r="J181" s="37"/>
      <c r="K181" s="37"/>
      <c r="L181" s="37"/>
      <c r="M181" s="37"/>
      <c r="N181" s="2"/>
    </row>
    <row r="182" spans="1:14" ht="91.5" customHeight="1">
      <c r="A182" s="47" t="s">
        <v>540</v>
      </c>
      <c r="B182" s="39" t="s">
        <v>541</v>
      </c>
      <c r="C182" s="40"/>
      <c r="D182" s="41"/>
      <c r="E182" s="41"/>
      <c r="F182" s="23"/>
      <c r="G182" s="42">
        <f t="shared" ref="G182:G187" si="22">IF(F182="Atende",1,0)</f>
        <v>0</v>
      </c>
      <c r="H182" s="561" t="s">
        <v>525</v>
      </c>
      <c r="I182" s="291" t="s">
        <v>1550</v>
      </c>
      <c r="J182" s="30"/>
      <c r="K182" s="30"/>
      <c r="L182" s="30"/>
      <c r="M182" s="30"/>
      <c r="N182" s="390" t="s">
        <v>1556</v>
      </c>
    </row>
    <row r="183" spans="1:14" ht="172.5" customHeight="1">
      <c r="A183" s="47" t="s">
        <v>542</v>
      </c>
      <c r="B183" s="39" t="s">
        <v>543</v>
      </c>
      <c r="C183" s="40"/>
      <c r="D183" s="41"/>
      <c r="E183" s="41"/>
      <c r="F183" s="23"/>
      <c r="G183" s="42">
        <f t="shared" si="22"/>
        <v>0</v>
      </c>
      <c r="H183" s="557"/>
      <c r="I183" s="292" t="s">
        <v>1551</v>
      </c>
      <c r="J183" s="30"/>
      <c r="K183" s="30"/>
      <c r="L183" s="30"/>
      <c r="M183" s="30"/>
      <c r="N183" s="391" t="s">
        <v>1557</v>
      </c>
    </row>
    <row r="184" spans="1:14" ht="29.25" customHeight="1">
      <c r="A184" s="47" t="s">
        <v>544</v>
      </c>
      <c r="B184" s="39" t="s">
        <v>545</v>
      </c>
      <c r="C184" s="40"/>
      <c r="D184" s="41"/>
      <c r="E184" s="41"/>
      <c r="F184" s="23" t="s">
        <v>1258</v>
      </c>
      <c r="G184" s="42">
        <f t="shared" si="22"/>
        <v>1</v>
      </c>
      <c r="H184" s="557"/>
      <c r="I184" s="293" t="s">
        <v>1552</v>
      </c>
      <c r="J184" s="30" t="s">
        <v>1956</v>
      </c>
      <c r="K184" s="30"/>
      <c r="L184" s="30"/>
      <c r="M184" s="30"/>
      <c r="N184" s="393" t="s">
        <v>1558</v>
      </c>
    </row>
    <row r="185" spans="1:14" ht="41.25" customHeight="1">
      <c r="A185" s="47" t="s">
        <v>546</v>
      </c>
      <c r="B185" s="39" t="s">
        <v>547</v>
      </c>
      <c r="C185" s="40"/>
      <c r="D185" s="41"/>
      <c r="E185" s="41"/>
      <c r="F185" s="23" t="s">
        <v>1258</v>
      </c>
      <c r="G185" s="42">
        <f t="shared" si="22"/>
        <v>1</v>
      </c>
      <c r="H185" s="557"/>
      <c r="I185" s="294" t="s">
        <v>1553</v>
      </c>
      <c r="J185" s="30" t="s">
        <v>1956</v>
      </c>
      <c r="K185" s="30"/>
      <c r="L185" s="30"/>
      <c r="M185" s="30"/>
      <c r="N185" s="392" t="s">
        <v>1559</v>
      </c>
    </row>
    <row r="186" spans="1:14" ht="86.25" customHeight="1">
      <c r="A186" s="47" t="s">
        <v>548</v>
      </c>
      <c r="B186" s="39" t="s">
        <v>549</v>
      </c>
      <c r="C186" s="40"/>
      <c r="D186" s="41"/>
      <c r="E186" s="41"/>
      <c r="F186" s="23" t="s">
        <v>1258</v>
      </c>
      <c r="G186" s="42">
        <f t="shared" si="22"/>
        <v>1</v>
      </c>
      <c r="H186" s="557"/>
      <c r="I186" s="295" t="s">
        <v>1554</v>
      </c>
      <c r="J186" s="30" t="s">
        <v>1956</v>
      </c>
      <c r="K186" s="30"/>
      <c r="L186" s="30"/>
      <c r="M186" s="30"/>
      <c r="N186" s="391" t="s">
        <v>1560</v>
      </c>
    </row>
    <row r="187" spans="1:14" ht="128.25" customHeight="1">
      <c r="A187" s="47" t="s">
        <v>550</v>
      </c>
      <c r="B187" s="39" t="s">
        <v>551</v>
      </c>
      <c r="C187" s="40"/>
      <c r="D187" s="41"/>
      <c r="E187" s="41"/>
      <c r="F187" s="23"/>
      <c r="G187" s="42">
        <f t="shared" si="22"/>
        <v>0</v>
      </c>
      <c r="H187" s="557"/>
      <c r="I187" s="296" t="s">
        <v>1555</v>
      </c>
      <c r="J187" s="30"/>
      <c r="K187" s="30"/>
      <c r="L187" s="30"/>
      <c r="M187" s="30"/>
      <c r="N187" s="391" t="s">
        <v>1561</v>
      </c>
    </row>
    <row r="188" spans="1:14" ht="27" customHeight="1">
      <c r="A188" s="37">
        <v>8.4</v>
      </c>
      <c r="B188" s="33" t="s">
        <v>552</v>
      </c>
      <c r="C188" s="34" t="e">
        <f>VLOOKUP($B$3,[8]QATC08!$B$2:$BP$34,53,FALSE)</f>
        <v>#N/A</v>
      </c>
      <c r="D188" s="53"/>
      <c r="E188" s="53"/>
      <c r="F188" s="150"/>
      <c r="G188" s="150">
        <f>IF(COUNTIF(F189:F195,"Não se aplica")&gt;=2,"Não se aplica",IF(COUNTIF(F189:F195,"Sem classificação")&gt;=2,"Sem classificação",IF(COUNTIF(F189:F195,"Atende")=7,4,IF(COUNTIF(F189:F195,"Atende")&gt;=5,3,IF(COUNTIF(F189:F195,"Atende")&gt;=3,2,IF(COUNTIF(F189:F195,"Atende")&gt;=1,1,0))))))</f>
        <v>2</v>
      </c>
      <c r="H188" s="151"/>
      <c r="I188" s="152"/>
      <c r="J188" s="153"/>
      <c r="K188" s="153"/>
      <c r="L188" s="153"/>
      <c r="M188" s="153"/>
      <c r="N188" s="2"/>
    </row>
    <row r="189" spans="1:14" ht="117.75" customHeight="1">
      <c r="A189" s="47" t="s">
        <v>553</v>
      </c>
      <c r="B189" s="39" t="s">
        <v>554</v>
      </c>
      <c r="C189" s="40"/>
      <c r="D189" s="41"/>
      <c r="E189" s="41"/>
      <c r="F189" s="23"/>
      <c r="G189" s="42">
        <f t="shared" ref="G189:G195" si="23">IF(F189="Atende",1,0)</f>
        <v>0</v>
      </c>
      <c r="H189" s="561" t="s">
        <v>525</v>
      </c>
      <c r="I189" s="297" t="s">
        <v>1562</v>
      </c>
      <c r="J189" s="30"/>
      <c r="K189" s="30"/>
      <c r="L189" s="30"/>
      <c r="M189" s="30"/>
      <c r="N189" s="391" t="s">
        <v>1566</v>
      </c>
    </row>
    <row r="190" spans="1:14" ht="69.75" customHeight="1">
      <c r="A190" s="47" t="s">
        <v>555</v>
      </c>
      <c r="B190" s="39" t="s">
        <v>556</v>
      </c>
      <c r="C190" s="40"/>
      <c r="D190" s="41"/>
      <c r="E190" s="41"/>
      <c r="F190" s="23" t="s">
        <v>1258</v>
      </c>
      <c r="G190" s="42">
        <f t="shared" si="23"/>
        <v>1</v>
      </c>
      <c r="H190" s="557"/>
      <c r="I190" s="298" t="s">
        <v>1563</v>
      </c>
      <c r="J190" s="30" t="s">
        <v>1956</v>
      </c>
      <c r="K190" s="30"/>
      <c r="L190" s="30"/>
      <c r="M190" s="30"/>
      <c r="N190" s="391" t="s">
        <v>1567</v>
      </c>
    </row>
    <row r="191" spans="1:14" ht="189.75" customHeight="1">
      <c r="A191" s="47" t="s">
        <v>557</v>
      </c>
      <c r="B191" s="387" t="s">
        <v>558</v>
      </c>
      <c r="C191" s="40"/>
      <c r="D191" s="41"/>
      <c r="E191" s="41"/>
      <c r="F191" s="23"/>
      <c r="G191" s="42">
        <f t="shared" si="23"/>
        <v>0</v>
      </c>
      <c r="H191" s="557"/>
      <c r="I191" s="538" t="s">
        <v>1944</v>
      </c>
      <c r="J191" s="30"/>
      <c r="K191" s="30"/>
      <c r="L191" s="30"/>
      <c r="M191" s="30"/>
      <c r="N191" s="390" t="s">
        <v>1568</v>
      </c>
    </row>
    <row r="192" spans="1:14" ht="75.75" customHeight="1">
      <c r="A192" s="47" t="s">
        <v>559</v>
      </c>
      <c r="B192" s="39" t="s">
        <v>560</v>
      </c>
      <c r="C192" s="40"/>
      <c r="D192" s="41"/>
      <c r="E192" s="41"/>
      <c r="F192" s="23" t="s">
        <v>1258</v>
      </c>
      <c r="G192" s="42">
        <f t="shared" si="23"/>
        <v>1</v>
      </c>
      <c r="H192" s="557"/>
      <c r="I192" s="299" t="s">
        <v>1564</v>
      </c>
      <c r="J192" s="30" t="s">
        <v>1956</v>
      </c>
      <c r="K192" s="30"/>
      <c r="L192" s="30"/>
      <c r="M192" s="30"/>
      <c r="N192" s="390" t="s">
        <v>1569</v>
      </c>
    </row>
    <row r="193" spans="1:14" ht="153" customHeight="1">
      <c r="A193" s="47" t="s">
        <v>561</v>
      </c>
      <c r="B193" s="154" t="s">
        <v>562</v>
      </c>
      <c r="C193" s="40"/>
      <c r="D193" s="41"/>
      <c r="E193" s="41"/>
      <c r="F193" s="23" t="s">
        <v>1258</v>
      </c>
      <c r="G193" s="42">
        <f t="shared" si="23"/>
        <v>1</v>
      </c>
      <c r="H193" s="557"/>
      <c r="I193" s="539" t="s">
        <v>1945</v>
      </c>
      <c r="J193" s="30" t="s">
        <v>1956</v>
      </c>
      <c r="K193" s="30"/>
      <c r="L193" s="30"/>
      <c r="M193" s="30"/>
      <c r="N193" s="391" t="s">
        <v>1570</v>
      </c>
    </row>
    <row r="194" spans="1:14" ht="192.75" customHeight="1">
      <c r="A194" s="47" t="s">
        <v>563</v>
      </c>
      <c r="B194" s="39" t="s">
        <v>564</v>
      </c>
      <c r="C194" s="40"/>
      <c r="D194" s="41"/>
      <c r="E194" s="41"/>
      <c r="F194" s="23" t="s">
        <v>1258</v>
      </c>
      <c r="G194" s="42">
        <f t="shared" si="23"/>
        <v>1</v>
      </c>
      <c r="H194" s="557"/>
      <c r="I194" s="300" t="s">
        <v>1706</v>
      </c>
      <c r="J194" s="30" t="s">
        <v>1956</v>
      </c>
      <c r="K194" s="30"/>
      <c r="L194" s="30"/>
      <c r="M194" s="30"/>
      <c r="N194" s="390" t="s">
        <v>1571</v>
      </c>
    </row>
    <row r="195" spans="1:14" ht="67.5" customHeight="1">
      <c r="A195" s="47" t="s">
        <v>565</v>
      </c>
      <c r="B195" s="39" t="s">
        <v>566</v>
      </c>
      <c r="C195" s="40"/>
      <c r="D195" s="41"/>
      <c r="E195" s="41"/>
      <c r="F195" s="23"/>
      <c r="G195" s="42">
        <f t="shared" si="23"/>
        <v>0</v>
      </c>
      <c r="H195" s="557"/>
      <c r="I195" s="301" t="s">
        <v>1565</v>
      </c>
      <c r="J195" s="30"/>
      <c r="K195" s="30"/>
      <c r="L195" s="30"/>
      <c r="M195" s="30"/>
      <c r="N195" s="391" t="s">
        <v>1572</v>
      </c>
    </row>
    <row r="196" spans="1:14" ht="24.75" customHeight="1">
      <c r="A196" s="91" t="s">
        <v>567</v>
      </c>
      <c r="B196" s="92" t="s">
        <v>568</v>
      </c>
      <c r="C196" s="93" t="s">
        <v>569</v>
      </c>
      <c r="D196" s="94"/>
      <c r="E196" s="17">
        <f>SUM(G198,G203)</f>
        <v>7</v>
      </c>
      <c r="F196" s="95"/>
      <c r="G196" s="19" t="str">
        <f>IF(H196&gt;=2,"Não se aplica",IF(I196&gt;=2,"Sem classificação",IF(F196=4,IF(E196&lt;=2,0,IF(E196&lt;=6,1,IF(E196&lt;=10,2,IF(E196&lt;=14,3,4)))),IF(F196=3,ROUND(AVERAGE(G198,G203),0),IF(F196=2,ROUNDDOWN(AVERAGE(G198,G203),0),"Não se aplica")))))</f>
        <v>Não se aplica</v>
      </c>
      <c r="H196" s="20">
        <f>COUNTIF(G198:G203,"Não se aplica")</f>
        <v>0</v>
      </c>
      <c r="I196" s="21"/>
      <c r="J196" s="22"/>
      <c r="K196" s="22"/>
      <c r="L196" s="22"/>
      <c r="M196" s="22"/>
      <c r="N196" s="2"/>
    </row>
    <row r="197" spans="1:14" ht="22.5" customHeight="1">
      <c r="A197" s="54" t="s">
        <v>18</v>
      </c>
      <c r="B197" s="55" t="s">
        <v>19</v>
      </c>
      <c r="C197" s="25"/>
      <c r="D197" s="26"/>
      <c r="E197" s="139"/>
      <c r="F197" s="140"/>
      <c r="G197" s="56"/>
      <c r="H197" s="29"/>
      <c r="I197" s="30"/>
      <c r="J197" s="30"/>
      <c r="K197" s="30"/>
      <c r="L197" s="30"/>
      <c r="M197" s="30"/>
      <c r="N197" s="2"/>
    </row>
    <row r="198" spans="1:14" ht="24.75" customHeight="1">
      <c r="A198" s="48" t="s">
        <v>570</v>
      </c>
      <c r="B198" s="33" t="s">
        <v>571</v>
      </c>
      <c r="C198" s="34" t="e">
        <f>VLOOKUP($B$3,[9]QATC09!$B$2:$T$34,2,FALSE)</f>
        <v>#N/A</v>
      </c>
      <c r="D198" s="155"/>
      <c r="E198" s="155"/>
      <c r="F198" s="37"/>
      <c r="G198" s="37">
        <f>IF(COUNTIF(F199:F202,"Não se aplica")&gt;=2,"Não se aplica",IF(COUNTIF(F199:F202,"Sem classificação")&gt;=2,"Sem classificação",IF(COUNTIF(F199:F202,"Atende")=4,4,IF(COUNTIF(F199:F202,"Atende")=3,3,IF(COUNTIF(F199:F202,"Atende")=2,2,IF(COUNTIF(F199:F202,"Atende")=1,1,0))))))</f>
        <v>4</v>
      </c>
      <c r="H198" s="34"/>
      <c r="I198" s="37"/>
      <c r="J198" s="37"/>
      <c r="K198" s="37"/>
      <c r="L198" s="37"/>
      <c r="M198" s="37"/>
      <c r="N198" s="2"/>
    </row>
    <row r="199" spans="1:14" ht="36" customHeight="1">
      <c r="A199" s="47" t="s">
        <v>572</v>
      </c>
      <c r="B199" s="39" t="s">
        <v>333</v>
      </c>
      <c r="C199" s="40"/>
      <c r="D199" s="41"/>
      <c r="E199" s="41"/>
      <c r="F199" s="23" t="s">
        <v>1258</v>
      </c>
      <c r="G199" s="42">
        <f t="shared" ref="G199:G202" si="24">IF(F199="Atende",1,0)</f>
        <v>1</v>
      </c>
      <c r="H199" s="556" t="s">
        <v>289</v>
      </c>
      <c r="I199" s="302" t="s">
        <v>1573</v>
      </c>
      <c r="J199" s="30" t="s">
        <v>1956</v>
      </c>
      <c r="K199" s="30"/>
      <c r="L199" s="30"/>
      <c r="M199" s="30"/>
      <c r="N199" s="376" t="s">
        <v>1687</v>
      </c>
    </row>
    <row r="200" spans="1:14" ht="49.5" customHeight="1">
      <c r="A200" s="47" t="s">
        <v>573</v>
      </c>
      <c r="B200" s="39" t="s">
        <v>574</v>
      </c>
      <c r="C200" s="40"/>
      <c r="D200" s="41"/>
      <c r="E200" s="41"/>
      <c r="F200" s="23" t="s">
        <v>1258</v>
      </c>
      <c r="G200" s="42">
        <f t="shared" si="24"/>
        <v>1</v>
      </c>
      <c r="H200" s="557"/>
      <c r="I200" s="302" t="s">
        <v>1705</v>
      </c>
      <c r="J200" s="30" t="s">
        <v>1956</v>
      </c>
      <c r="K200" s="30"/>
      <c r="L200" s="30"/>
      <c r="M200" s="30"/>
      <c r="N200" s="376" t="s">
        <v>1687</v>
      </c>
    </row>
    <row r="201" spans="1:14" ht="27.75" customHeight="1">
      <c r="A201" s="47" t="s">
        <v>575</v>
      </c>
      <c r="B201" s="39" t="s">
        <v>487</v>
      </c>
      <c r="C201" s="40"/>
      <c r="D201" s="41"/>
      <c r="E201" s="41"/>
      <c r="F201" s="23" t="s">
        <v>1258</v>
      </c>
      <c r="G201" s="42">
        <f t="shared" si="24"/>
        <v>1</v>
      </c>
      <c r="H201" s="557"/>
      <c r="I201" s="302" t="s">
        <v>1574</v>
      </c>
      <c r="J201" s="30" t="s">
        <v>1956</v>
      </c>
      <c r="K201" s="30"/>
      <c r="L201" s="30"/>
      <c r="M201" s="30"/>
      <c r="N201" s="2"/>
    </row>
    <row r="202" spans="1:14" ht="44.25" customHeight="1">
      <c r="A202" s="47" t="s">
        <v>576</v>
      </c>
      <c r="B202" s="39" t="s">
        <v>577</v>
      </c>
      <c r="C202" s="40"/>
      <c r="D202" s="41"/>
      <c r="E202" s="41"/>
      <c r="F202" s="23" t="s">
        <v>1258</v>
      </c>
      <c r="G202" s="42">
        <f t="shared" si="24"/>
        <v>1</v>
      </c>
      <c r="H202" s="557"/>
      <c r="I202" s="302" t="s">
        <v>1575</v>
      </c>
      <c r="J202" s="30" t="s">
        <v>1956</v>
      </c>
      <c r="K202" s="30"/>
      <c r="L202" s="30"/>
      <c r="M202" s="30"/>
      <c r="N202" s="376" t="s">
        <v>1687</v>
      </c>
    </row>
    <row r="203" spans="1:14" ht="24.75" customHeight="1">
      <c r="A203" s="48" t="s">
        <v>578</v>
      </c>
      <c r="B203" s="33" t="s">
        <v>579</v>
      </c>
      <c r="C203" s="34" t="e">
        <f>VLOOKUP($B$3,[9]QATC09!$B$2:$T$34,11,FALSE)</f>
        <v>#N/A</v>
      </c>
      <c r="D203" s="35"/>
      <c r="E203" s="35"/>
      <c r="F203" s="37"/>
      <c r="G203" s="97">
        <f>IF(COUNTIF(F204:F207,"Não se aplica")&gt;=2,"Não se aplica",IF(COUNTIF(F204:F207,"Sem classificação")&gt;=2,"Sem classificação",IF(COUNTIF(F204:F207,"Atende")=4,4,IF(COUNTIF(F204:F207,"Atende")=3,3,IF(COUNTIF(F204:F207,"Atende")=2,2,IF(COUNTIF(F204:F207,"Atende")=1,1,0))))))</f>
        <v>3</v>
      </c>
      <c r="H203" s="34"/>
      <c r="I203" s="37"/>
      <c r="J203" s="37"/>
      <c r="K203" s="37"/>
      <c r="L203" s="37"/>
      <c r="M203" s="37"/>
      <c r="N203" s="2"/>
    </row>
    <row r="204" spans="1:14" ht="24.75" customHeight="1">
      <c r="A204" s="47" t="s">
        <v>580</v>
      </c>
      <c r="B204" s="39" t="s">
        <v>581</v>
      </c>
      <c r="C204" s="40"/>
      <c r="D204" s="41"/>
      <c r="E204" s="41"/>
      <c r="F204" s="23"/>
      <c r="G204" s="42">
        <f t="shared" ref="G204:G207" si="25">IF(F204="Atende",1,0)</f>
        <v>0</v>
      </c>
      <c r="H204" s="556" t="s">
        <v>289</v>
      </c>
      <c r="I204" s="39"/>
      <c r="J204" s="30"/>
      <c r="K204" s="30"/>
      <c r="L204" s="30"/>
      <c r="M204" s="30"/>
      <c r="N204" s="2"/>
    </row>
    <row r="205" spans="1:14" ht="69.75" customHeight="1">
      <c r="A205" s="47" t="s">
        <v>582</v>
      </c>
      <c r="B205" s="387" t="s">
        <v>583</v>
      </c>
      <c r="C205" s="40"/>
      <c r="D205" s="41"/>
      <c r="E205" s="41"/>
      <c r="F205" s="23" t="s">
        <v>1258</v>
      </c>
      <c r="G205" s="42">
        <f t="shared" si="25"/>
        <v>1</v>
      </c>
      <c r="H205" s="557"/>
      <c r="I205" s="304" t="s">
        <v>1576</v>
      </c>
      <c r="J205" s="30" t="s">
        <v>1956</v>
      </c>
      <c r="K205" s="30"/>
      <c r="L205" s="30"/>
      <c r="M205" s="30"/>
      <c r="N205" s="2"/>
    </row>
    <row r="206" spans="1:14" ht="52.5" customHeight="1">
      <c r="A206" s="47" t="s">
        <v>584</v>
      </c>
      <c r="B206" s="387" t="s">
        <v>585</v>
      </c>
      <c r="C206" s="40"/>
      <c r="D206" s="41"/>
      <c r="E206" s="41"/>
      <c r="F206" s="23" t="s">
        <v>1258</v>
      </c>
      <c r="G206" s="42">
        <f t="shared" si="25"/>
        <v>1</v>
      </c>
      <c r="H206" s="557"/>
      <c r="I206" s="303" t="s">
        <v>1577</v>
      </c>
      <c r="J206" s="30" t="s">
        <v>1956</v>
      </c>
      <c r="K206" s="30"/>
      <c r="L206" s="30"/>
      <c r="M206" s="30"/>
      <c r="N206" s="2"/>
    </row>
    <row r="207" spans="1:14" ht="82.5" customHeight="1">
      <c r="A207" s="47" t="s">
        <v>586</v>
      </c>
      <c r="B207" s="39" t="s">
        <v>587</v>
      </c>
      <c r="C207" s="40"/>
      <c r="D207" s="41"/>
      <c r="E207" s="41"/>
      <c r="F207" s="23" t="s">
        <v>1258</v>
      </c>
      <c r="G207" s="42">
        <f t="shared" si="25"/>
        <v>1</v>
      </c>
      <c r="H207" s="557"/>
      <c r="I207" s="303" t="s">
        <v>1578</v>
      </c>
      <c r="J207" s="30" t="s">
        <v>1956</v>
      </c>
      <c r="K207" s="30"/>
      <c r="L207" s="30"/>
      <c r="M207" s="30"/>
      <c r="N207" s="376" t="s">
        <v>1704</v>
      </c>
    </row>
    <row r="208" spans="1:14" ht="25.5" customHeight="1">
      <c r="A208" s="550" t="s">
        <v>588</v>
      </c>
      <c r="B208" s="551"/>
      <c r="C208" s="46" t="s">
        <v>589</v>
      </c>
      <c r="D208" s="51"/>
      <c r="E208" s="51"/>
      <c r="F208" s="46"/>
      <c r="G208" s="46"/>
      <c r="H208" s="46"/>
      <c r="I208" s="46"/>
      <c r="J208" s="46"/>
      <c r="K208" s="46"/>
      <c r="L208" s="46"/>
      <c r="M208" s="46"/>
      <c r="N208" s="2"/>
    </row>
    <row r="209" spans="1:14" ht="35.25" customHeight="1">
      <c r="A209" s="15" t="s">
        <v>590</v>
      </c>
      <c r="B209" s="156" t="s">
        <v>591</v>
      </c>
      <c r="C209" s="22" t="s">
        <v>592</v>
      </c>
      <c r="D209" s="53"/>
      <c r="E209" s="17">
        <f>SUM(G211,G224,G230,G241)</f>
        <v>6</v>
      </c>
      <c r="F209" s="18"/>
      <c r="G209" s="19" t="str">
        <f>IF(H209&gt;=2,"Não se aplica",IF(I209&gt;=2,"Sem classificação",IF(F209=4,IF(E209&lt;=2,0,IF(E209&lt;=6,1,IF(E209&lt;=10,2,IF(E209&lt;=14,3,4)))),IF(F209=3,ROUND(AVERAGE(G211,G224,G230,G241),0),IF(F209=2,ROUNDDOWN(AVERAGE(G211,G224,G230,G241),0),"Não se aplica")))))</f>
        <v>Não se aplica</v>
      </c>
      <c r="H209" s="20">
        <f>COUNTIF(G211:G241,"Não se aplica")</f>
        <v>0</v>
      </c>
      <c r="I209" s="21"/>
      <c r="J209" s="22"/>
      <c r="K209" s="22"/>
      <c r="L209" s="22"/>
      <c r="M209" s="22"/>
      <c r="N209" s="2"/>
    </row>
    <row r="210" spans="1:14" ht="18.75" customHeight="1">
      <c r="A210" s="54" t="s">
        <v>18</v>
      </c>
      <c r="B210" s="55" t="s">
        <v>19</v>
      </c>
      <c r="C210" s="25"/>
      <c r="D210" s="26"/>
      <c r="E210" s="26"/>
      <c r="F210" s="27"/>
      <c r="G210" s="28"/>
      <c r="H210" s="29"/>
      <c r="I210" s="30"/>
      <c r="J210" s="30"/>
      <c r="K210" s="30"/>
      <c r="L210" s="30"/>
      <c r="M210" s="30"/>
      <c r="N210" s="2"/>
    </row>
    <row r="211" spans="1:14" ht="28.5" customHeight="1">
      <c r="A211" s="48" t="s">
        <v>593</v>
      </c>
      <c r="B211" s="33" t="s">
        <v>594</v>
      </c>
      <c r="C211" s="34" t="e">
        <f>VLOOKUP($B$3,[10]QATC10!$B$2:$CM$34,2,FALSE)</f>
        <v>#N/A</v>
      </c>
      <c r="D211" s="35"/>
      <c r="E211" s="35"/>
      <c r="F211" s="34"/>
      <c r="G211" s="37">
        <f>IF(COUNTIF(F212:F223,"Não se aplica")&gt;=2,"Não se aplica",IF(COUNTIF(F212:F223,"Sem classificação")&gt;=2,"Sem classificação",IF(COUNTIF(F212:F223,"Atende")=12,4,IF(AND(F212="Atende",F213="Atende",F216="Atende",F217="Atende",F220="Atende"),3,IF(COUNTIF(F212:F223,"Atende")&gt;=5,2,IF(COUNTIF(F212:F223,"Atende")&gt;=3,1,0))))))</f>
        <v>0</v>
      </c>
      <c r="H211" s="34"/>
      <c r="I211" s="37"/>
      <c r="J211" s="37"/>
      <c r="K211" s="37"/>
      <c r="L211" s="37"/>
      <c r="M211" s="37"/>
      <c r="N211" s="2"/>
    </row>
    <row r="212" spans="1:14" ht="45" customHeight="1">
      <c r="A212" s="47" t="s">
        <v>595</v>
      </c>
      <c r="B212" s="39" t="s">
        <v>596</v>
      </c>
      <c r="C212" s="40"/>
      <c r="D212" s="41"/>
      <c r="E212" s="41"/>
      <c r="F212" s="23" t="s">
        <v>1258</v>
      </c>
      <c r="G212" s="42">
        <f t="shared" ref="G212:G223" si="26">IF(F212="Atende",1,0)</f>
        <v>1</v>
      </c>
      <c r="H212" s="561" t="s">
        <v>597</v>
      </c>
      <c r="I212" s="317" t="s">
        <v>1794</v>
      </c>
      <c r="J212" s="157" t="s">
        <v>1956</v>
      </c>
      <c r="K212" s="157"/>
      <c r="L212" s="157"/>
      <c r="M212" s="157"/>
      <c r="N212" s="353" t="s">
        <v>1712</v>
      </c>
    </row>
    <row r="213" spans="1:14" ht="27" customHeight="1">
      <c r="A213" s="47" t="s">
        <v>598</v>
      </c>
      <c r="B213" s="39" t="s">
        <v>599</v>
      </c>
      <c r="C213" s="40"/>
      <c r="D213" s="41"/>
      <c r="E213" s="41"/>
      <c r="F213" s="23"/>
      <c r="G213" s="42">
        <f t="shared" si="26"/>
        <v>0</v>
      </c>
      <c r="H213" s="557"/>
      <c r="I213" s="39"/>
      <c r="J213" s="157"/>
      <c r="K213" s="157"/>
      <c r="L213" s="157"/>
      <c r="M213" s="157"/>
      <c r="N213" s="2"/>
    </row>
    <row r="214" spans="1:14" ht="27" customHeight="1">
      <c r="A214" s="47" t="s">
        <v>600</v>
      </c>
      <c r="B214" s="39" t="s">
        <v>601</v>
      </c>
      <c r="C214" s="40"/>
      <c r="D214" s="41"/>
      <c r="E214" s="41"/>
      <c r="F214" s="23"/>
      <c r="G214" s="42">
        <f t="shared" si="26"/>
        <v>0</v>
      </c>
      <c r="H214" s="557"/>
      <c r="I214" s="39"/>
      <c r="J214" s="157"/>
      <c r="K214" s="157"/>
      <c r="L214" s="157"/>
      <c r="M214" s="157"/>
      <c r="N214" s="2"/>
    </row>
    <row r="215" spans="1:14" ht="27" customHeight="1">
      <c r="A215" s="47" t="s">
        <v>602</v>
      </c>
      <c r="B215" s="39" t="s">
        <v>603</v>
      </c>
      <c r="C215" s="40"/>
      <c r="D215" s="41"/>
      <c r="E215" s="41"/>
      <c r="F215" s="23"/>
      <c r="G215" s="42">
        <f t="shared" si="26"/>
        <v>0</v>
      </c>
      <c r="H215" s="557"/>
      <c r="I215" s="39"/>
      <c r="J215" s="157"/>
      <c r="K215" s="157"/>
      <c r="L215" s="157"/>
      <c r="M215" s="157"/>
      <c r="N215" s="2"/>
    </row>
    <row r="216" spans="1:14" ht="24.75" customHeight="1">
      <c r="A216" s="47" t="s">
        <v>604</v>
      </c>
      <c r="B216" s="39" t="s">
        <v>605</v>
      </c>
      <c r="C216" s="40"/>
      <c r="D216" s="41"/>
      <c r="E216" s="41"/>
      <c r="F216" s="23"/>
      <c r="G216" s="42">
        <f t="shared" si="26"/>
        <v>0</v>
      </c>
      <c r="H216" s="557"/>
      <c r="I216" s="39"/>
      <c r="J216" s="157"/>
      <c r="K216" s="157"/>
      <c r="L216" s="157"/>
      <c r="M216" s="157"/>
      <c r="N216" s="2"/>
    </row>
    <row r="217" spans="1:14" ht="24.75" customHeight="1">
      <c r="A217" s="47" t="s">
        <v>606</v>
      </c>
      <c r="B217" s="39" t="s">
        <v>607</v>
      </c>
      <c r="C217" s="40"/>
      <c r="D217" s="41"/>
      <c r="E217" s="41"/>
      <c r="F217" s="23"/>
      <c r="G217" s="42">
        <f t="shared" si="26"/>
        <v>0</v>
      </c>
      <c r="H217" s="557"/>
      <c r="I217" s="39"/>
      <c r="J217" s="157"/>
      <c r="K217" s="157"/>
      <c r="L217" s="157"/>
      <c r="M217" s="157"/>
      <c r="N217" s="2"/>
    </row>
    <row r="218" spans="1:14" ht="24.75" customHeight="1">
      <c r="A218" s="47" t="s">
        <v>608</v>
      </c>
      <c r="B218" s="39" t="s">
        <v>609</v>
      </c>
      <c r="C218" s="40"/>
      <c r="D218" s="41"/>
      <c r="E218" s="41"/>
      <c r="F218" s="23"/>
      <c r="G218" s="42">
        <f t="shared" si="26"/>
        <v>0</v>
      </c>
      <c r="H218" s="557"/>
      <c r="I218" s="39"/>
      <c r="J218" s="157"/>
      <c r="K218" s="157"/>
      <c r="L218" s="157"/>
      <c r="M218" s="157"/>
      <c r="N218" s="2"/>
    </row>
    <row r="219" spans="1:14" ht="51" customHeight="1">
      <c r="A219" s="47" t="s">
        <v>610</v>
      </c>
      <c r="B219" s="39" t="s">
        <v>611</v>
      </c>
      <c r="C219" s="40"/>
      <c r="D219" s="41"/>
      <c r="E219" s="41"/>
      <c r="F219" s="23"/>
      <c r="G219" s="42">
        <f t="shared" si="26"/>
        <v>0</v>
      </c>
      <c r="H219" s="557"/>
      <c r="I219" s="318"/>
      <c r="J219" s="30"/>
      <c r="K219" s="30"/>
      <c r="L219" s="30"/>
      <c r="M219" s="30"/>
      <c r="N219" s="353"/>
    </row>
    <row r="220" spans="1:14" ht="26.25" customHeight="1">
      <c r="A220" s="47" t="s">
        <v>612</v>
      </c>
      <c r="B220" s="39" t="s">
        <v>613</v>
      </c>
      <c r="C220" s="40"/>
      <c r="D220" s="41"/>
      <c r="E220" s="41"/>
      <c r="F220" s="23"/>
      <c r="G220" s="42">
        <f t="shared" si="26"/>
        <v>0</v>
      </c>
      <c r="H220" s="557"/>
      <c r="I220" s="39"/>
      <c r="J220" s="157"/>
      <c r="K220" s="157"/>
      <c r="L220" s="157"/>
      <c r="M220" s="157"/>
      <c r="N220" s="2"/>
    </row>
    <row r="221" spans="1:14" ht="26.25" customHeight="1">
      <c r="A221" s="47" t="s">
        <v>614</v>
      </c>
      <c r="B221" s="39" t="s">
        <v>615</v>
      </c>
      <c r="C221" s="40"/>
      <c r="D221" s="41"/>
      <c r="E221" s="41"/>
      <c r="F221" s="23"/>
      <c r="G221" s="42">
        <f t="shared" si="26"/>
        <v>0</v>
      </c>
      <c r="H221" s="557"/>
      <c r="I221" s="39"/>
      <c r="J221" s="30"/>
      <c r="K221" s="30"/>
      <c r="L221" s="30"/>
      <c r="M221" s="30"/>
      <c r="N221" s="2"/>
    </row>
    <row r="222" spans="1:14" ht="30.75" customHeight="1">
      <c r="A222" s="47" t="s">
        <v>616</v>
      </c>
      <c r="B222" s="39" t="s">
        <v>617</v>
      </c>
      <c r="C222" s="40"/>
      <c r="D222" s="41"/>
      <c r="E222" s="41"/>
      <c r="F222" s="23"/>
      <c r="G222" s="42">
        <f t="shared" si="26"/>
        <v>0</v>
      </c>
      <c r="H222" s="557"/>
      <c r="I222" s="352" t="s">
        <v>1629</v>
      </c>
      <c r="J222" s="157"/>
      <c r="K222" s="157"/>
      <c r="L222" s="157"/>
      <c r="M222" s="157"/>
      <c r="N222" s="2"/>
    </row>
    <row r="223" spans="1:14" ht="24.75" customHeight="1">
      <c r="A223" s="47" t="s">
        <v>618</v>
      </c>
      <c r="B223" s="39" t="s">
        <v>619</v>
      </c>
      <c r="C223" s="40"/>
      <c r="D223" s="41"/>
      <c r="E223" s="41"/>
      <c r="F223" s="23"/>
      <c r="G223" s="42">
        <f t="shared" si="26"/>
        <v>0</v>
      </c>
      <c r="H223" s="557"/>
      <c r="I223" s="39"/>
      <c r="J223" s="157"/>
      <c r="K223" s="157"/>
      <c r="L223" s="157"/>
      <c r="M223" s="157"/>
      <c r="N223" s="2"/>
    </row>
    <row r="224" spans="1:14" ht="30" customHeight="1">
      <c r="A224" s="48" t="s">
        <v>620</v>
      </c>
      <c r="B224" s="33" t="s">
        <v>621</v>
      </c>
      <c r="C224" s="34" t="e">
        <f>VLOOKUP($B$3,[10]QATC10!$B$2:$CM$34,17,FALSE)</f>
        <v>#N/A</v>
      </c>
      <c r="D224" s="35"/>
      <c r="E224" s="35"/>
      <c r="F224" s="37"/>
      <c r="G224" s="36">
        <f>IF(COUNTIF(F225:F229,"Não se aplica")&gt;=2,"Não se aplica",IF(COUNTIF(F225:F229,"Sem classificação")&gt;=2,"Sem classificação",IF(COUNTIF(F225:F229,"Atende")=5,4,IF(COUNTIF(F225:F229,"Atende")&gt;=4,3,IF(COUNTIF(F225:F229,"Atende")&gt;=2,2,IF(COUNTIF(F225:F229,"Atende")&gt;=1,1,0))))))</f>
        <v>2</v>
      </c>
      <c r="H224" s="37"/>
      <c r="I224" s="127"/>
      <c r="J224" s="37"/>
      <c r="K224" s="37"/>
      <c r="L224" s="37"/>
      <c r="M224" s="37"/>
      <c r="N224" s="2"/>
    </row>
    <row r="225" spans="1:17" ht="49.5" customHeight="1">
      <c r="A225" s="47" t="s">
        <v>622</v>
      </c>
      <c r="B225" s="154" t="s">
        <v>623</v>
      </c>
      <c r="C225" s="40"/>
      <c r="D225" s="41"/>
      <c r="E225" s="41"/>
      <c r="F225" s="421" t="s">
        <v>1258</v>
      </c>
      <c r="G225" s="42">
        <f t="shared" ref="G225:G229" si="27">IF(F225="Atende",1,0)</f>
        <v>1</v>
      </c>
      <c r="H225" s="559" t="s">
        <v>624</v>
      </c>
      <c r="I225" s="366" t="s">
        <v>1948</v>
      </c>
      <c r="J225" s="54" t="s">
        <v>1956</v>
      </c>
      <c r="K225" s="54"/>
      <c r="L225" s="54"/>
      <c r="M225" s="54"/>
      <c r="N225" s="376" t="s">
        <v>1714</v>
      </c>
    </row>
    <row r="226" spans="1:17" ht="33" customHeight="1">
      <c r="A226" s="47" t="s">
        <v>625</v>
      </c>
      <c r="B226" s="39" t="s">
        <v>626</v>
      </c>
      <c r="C226" s="40"/>
      <c r="D226" s="41"/>
      <c r="E226" s="41"/>
      <c r="F226" s="23"/>
      <c r="G226" s="42">
        <f t="shared" si="27"/>
        <v>0</v>
      </c>
      <c r="H226" s="557"/>
      <c r="I226" s="366" t="s">
        <v>1904</v>
      </c>
      <c r="J226" s="54"/>
      <c r="K226" s="54"/>
      <c r="L226" s="54"/>
      <c r="M226" s="54"/>
      <c r="N226" s="2"/>
    </row>
    <row r="227" spans="1:17" ht="24.75" customHeight="1">
      <c r="A227" s="47" t="s">
        <v>627</v>
      </c>
      <c r="B227" s="39" t="s">
        <v>628</v>
      </c>
      <c r="C227" s="40"/>
      <c r="D227" s="41"/>
      <c r="E227" s="41"/>
      <c r="F227" s="23"/>
      <c r="G227" s="42">
        <f t="shared" si="27"/>
        <v>0</v>
      </c>
      <c r="H227" s="557"/>
      <c r="I227" s="320" t="s">
        <v>1899</v>
      </c>
      <c r="J227" s="54"/>
      <c r="K227" s="54"/>
      <c r="L227" s="54"/>
      <c r="M227" s="54"/>
      <c r="N227" s="376" t="s">
        <v>1714</v>
      </c>
    </row>
    <row r="228" spans="1:17" ht="27.75" customHeight="1">
      <c r="A228" s="47" t="s">
        <v>629</v>
      </c>
      <c r="B228" s="387" t="s">
        <v>630</v>
      </c>
      <c r="C228" s="40"/>
      <c r="D228" s="41"/>
      <c r="E228" s="41"/>
      <c r="F228" s="23" t="s">
        <v>1258</v>
      </c>
      <c r="G228" s="42">
        <f t="shared" si="27"/>
        <v>1</v>
      </c>
      <c r="H228" s="557"/>
      <c r="I228" s="358" t="s">
        <v>1713</v>
      </c>
      <c r="J228" s="54" t="s">
        <v>1956</v>
      </c>
      <c r="K228" s="54"/>
      <c r="L228" s="54"/>
      <c r="M228" s="54"/>
      <c r="N228" s="376" t="s">
        <v>1714</v>
      </c>
    </row>
    <row r="229" spans="1:17" ht="56.25" customHeight="1">
      <c r="A229" s="47" t="s">
        <v>631</v>
      </c>
      <c r="B229" s="39" t="s">
        <v>632</v>
      </c>
      <c r="C229" s="40"/>
      <c r="D229" s="41"/>
      <c r="E229" s="41"/>
      <c r="F229" s="23" t="s">
        <v>1258</v>
      </c>
      <c r="G229" s="42">
        <f t="shared" si="27"/>
        <v>1</v>
      </c>
      <c r="H229" s="557"/>
      <c r="I229" s="319" t="s">
        <v>1795</v>
      </c>
      <c r="J229" s="30" t="s">
        <v>1956</v>
      </c>
      <c r="K229" s="30"/>
      <c r="L229" s="30"/>
      <c r="M229" s="30"/>
      <c r="N229" s="376" t="s">
        <v>1714</v>
      </c>
    </row>
    <row r="230" spans="1:17" ht="29.25" customHeight="1">
      <c r="A230" s="48" t="s">
        <v>633</v>
      </c>
      <c r="B230" s="33" t="s">
        <v>634</v>
      </c>
      <c r="C230" s="34" t="e">
        <f>VLOOKUP($B$3,[10]QATC10!$B$2:$CM$34,38,FALSE)</f>
        <v>#N/A</v>
      </c>
      <c r="D230" s="35"/>
      <c r="E230" s="35"/>
      <c r="F230" s="37"/>
      <c r="G230" s="36">
        <f>IF(COUNTIF(F231:F240,"Não se aplica")&gt;=2,"Não se aplica",IF(COUNTIF(F231:F240,"Sem classificação")&gt;=2,"Sem classificação",IF(COUNTIF(F231:F240,"Atende")=10,4,IF(COUNTIF(F231:F240,"Atende")&gt;=8,3,IF(COUNTIF(F231:F240,"Atende")&gt;=6,2,IF(COUNTIF(F231:F240,"Atende")&gt;=3,1,0))))))</f>
        <v>1</v>
      </c>
      <c r="H230" s="37"/>
      <c r="I230" s="127"/>
      <c r="J230" s="37"/>
      <c r="K230" s="37"/>
      <c r="L230" s="37"/>
      <c r="M230" s="37"/>
      <c r="N230" s="2"/>
    </row>
    <row r="231" spans="1:17" ht="31.5" customHeight="1">
      <c r="A231" s="47" t="s">
        <v>635</v>
      </c>
      <c r="B231" s="39" t="s">
        <v>636</v>
      </c>
      <c r="C231" s="40"/>
      <c r="D231" s="41"/>
      <c r="E231" s="41"/>
      <c r="F231" s="23"/>
      <c r="G231" s="42">
        <f t="shared" ref="G231:G240" si="28">IF(F231="Atende",1,0)</f>
        <v>0</v>
      </c>
      <c r="H231" s="559" t="s">
        <v>637</v>
      </c>
      <c r="I231" s="323"/>
      <c r="J231" s="30"/>
      <c r="K231" s="30"/>
      <c r="L231" s="30"/>
      <c r="M231" s="30"/>
      <c r="N231" s="2"/>
    </row>
    <row r="232" spans="1:17" ht="31.5" customHeight="1">
      <c r="A232" s="47" t="s">
        <v>638</v>
      </c>
      <c r="B232" s="39" t="s">
        <v>639</v>
      </c>
      <c r="C232" s="40"/>
      <c r="D232" s="41"/>
      <c r="E232" s="41"/>
      <c r="F232" s="23"/>
      <c r="G232" s="42">
        <f t="shared" si="28"/>
        <v>0</v>
      </c>
      <c r="H232" s="557"/>
      <c r="I232" s="321" t="s">
        <v>1856</v>
      </c>
      <c r="J232" s="30"/>
      <c r="K232" s="30"/>
      <c r="L232" s="30"/>
      <c r="M232" s="30"/>
      <c r="N232" s="2"/>
    </row>
    <row r="233" spans="1:17" ht="31.5" customHeight="1">
      <c r="A233" s="47" t="s">
        <v>640</v>
      </c>
      <c r="B233" s="39" t="s">
        <v>641</v>
      </c>
      <c r="C233" s="40"/>
      <c r="D233" s="41"/>
      <c r="E233" s="41"/>
      <c r="F233" s="23"/>
      <c r="G233" s="42">
        <f t="shared" si="28"/>
        <v>0</v>
      </c>
      <c r="H233" s="557"/>
      <c r="I233" s="366" t="s">
        <v>1856</v>
      </c>
      <c r="J233" s="30"/>
      <c r="K233" s="30"/>
      <c r="L233" s="30"/>
      <c r="M233" s="30"/>
      <c r="N233" s="2"/>
    </row>
    <row r="234" spans="1:17" ht="31.5" customHeight="1">
      <c r="A234" s="47" t="s">
        <v>642</v>
      </c>
      <c r="B234" s="39" t="s">
        <v>643</v>
      </c>
      <c r="C234" s="40"/>
      <c r="D234" s="41"/>
      <c r="E234" s="41"/>
      <c r="F234" s="23"/>
      <c r="G234" s="42">
        <f t="shared" si="28"/>
        <v>0</v>
      </c>
      <c r="H234" s="557"/>
      <c r="I234" s="322" t="s">
        <v>1598</v>
      </c>
      <c r="J234" s="30"/>
      <c r="K234" s="30"/>
      <c r="L234" s="30"/>
      <c r="M234" s="30"/>
      <c r="N234" s="2"/>
    </row>
    <row r="235" spans="1:17" ht="60" customHeight="1">
      <c r="A235" s="47" t="s">
        <v>644</v>
      </c>
      <c r="B235" s="39" t="s">
        <v>645</v>
      </c>
      <c r="C235" s="40"/>
      <c r="D235" s="41"/>
      <c r="E235" s="41"/>
      <c r="F235" s="23" t="s">
        <v>1258</v>
      </c>
      <c r="G235" s="42">
        <f t="shared" si="28"/>
        <v>1</v>
      </c>
      <c r="H235" s="557"/>
      <c r="I235" s="358" t="s">
        <v>1797</v>
      </c>
      <c r="J235" s="30" t="s">
        <v>1956</v>
      </c>
      <c r="K235" s="30"/>
      <c r="L235" s="30"/>
      <c r="M235" s="30"/>
      <c r="N235" s="376" t="s">
        <v>1715</v>
      </c>
    </row>
    <row r="236" spans="1:17" ht="55.5" customHeight="1">
      <c r="A236" s="47" t="s">
        <v>646</v>
      </c>
      <c r="B236" s="39" t="s">
        <v>647</v>
      </c>
      <c r="C236" s="40"/>
      <c r="D236" s="41"/>
      <c r="E236" s="41"/>
      <c r="F236" s="23" t="s">
        <v>1258</v>
      </c>
      <c r="G236" s="42">
        <f t="shared" si="28"/>
        <v>1</v>
      </c>
      <c r="H236" s="557"/>
      <c r="I236" s="366" t="s">
        <v>1841</v>
      </c>
      <c r="J236" s="30" t="s">
        <v>1956</v>
      </c>
      <c r="K236" s="30"/>
      <c r="L236" s="30"/>
      <c r="M236" s="30"/>
      <c r="N236" s="376" t="s">
        <v>1715</v>
      </c>
    </row>
    <row r="237" spans="1:17" ht="54" customHeight="1">
      <c r="A237" s="47" t="s">
        <v>648</v>
      </c>
      <c r="B237" s="39" t="s">
        <v>649</v>
      </c>
      <c r="C237" s="40"/>
      <c r="D237" s="41"/>
      <c r="E237" s="41"/>
      <c r="F237" s="23" t="s">
        <v>1258</v>
      </c>
      <c r="G237" s="42">
        <f t="shared" si="28"/>
        <v>1</v>
      </c>
      <c r="H237" s="557"/>
      <c r="I237" s="358" t="s">
        <v>1905</v>
      </c>
      <c r="J237" s="30" t="s">
        <v>1956</v>
      </c>
      <c r="K237" s="30"/>
      <c r="L237" s="30"/>
      <c r="M237" s="30"/>
      <c r="N237" s="353" t="s">
        <v>1715</v>
      </c>
      <c r="O237" s="420" t="s">
        <v>1838</v>
      </c>
      <c r="P237" s="420" t="s">
        <v>1839</v>
      </c>
      <c r="Q237" s="420" t="s">
        <v>1840</v>
      </c>
    </row>
    <row r="238" spans="1:17" ht="31.5" customHeight="1">
      <c r="A238" s="47" t="s">
        <v>650</v>
      </c>
      <c r="B238" s="39" t="s">
        <v>651</v>
      </c>
      <c r="C238" s="40"/>
      <c r="D238" s="41"/>
      <c r="E238" s="41"/>
      <c r="F238" s="23" t="s">
        <v>1258</v>
      </c>
      <c r="G238" s="42">
        <f t="shared" si="28"/>
        <v>1</v>
      </c>
      <c r="H238" s="557"/>
      <c r="I238" s="321" t="s">
        <v>1796</v>
      </c>
      <c r="J238" s="30" t="s">
        <v>1956</v>
      </c>
      <c r="K238" s="30"/>
      <c r="L238" s="30"/>
      <c r="M238" s="30"/>
      <c r="N238" s="376" t="s">
        <v>1715</v>
      </c>
    </row>
    <row r="239" spans="1:17" ht="37.5" customHeight="1">
      <c r="A239" s="47" t="s">
        <v>652</v>
      </c>
      <c r="B239" s="39" t="s">
        <v>653</v>
      </c>
      <c r="C239" s="40"/>
      <c r="D239" s="41"/>
      <c r="E239" s="41"/>
      <c r="F239" s="23"/>
      <c r="G239" s="42">
        <f t="shared" si="28"/>
        <v>0</v>
      </c>
      <c r="H239" s="557"/>
      <c r="I239" s="366" t="s">
        <v>1857</v>
      </c>
      <c r="J239" s="30"/>
      <c r="K239" s="30"/>
      <c r="L239" s="30"/>
      <c r="M239" s="30"/>
      <c r="N239" s="376"/>
    </row>
    <row r="240" spans="1:17" ht="31.5" customHeight="1">
      <c r="A240" s="47" t="s">
        <v>654</v>
      </c>
      <c r="B240" s="39" t="s">
        <v>655</v>
      </c>
      <c r="C240" s="40"/>
      <c r="D240" s="41"/>
      <c r="E240" s="41"/>
      <c r="F240" s="23" t="s">
        <v>1258</v>
      </c>
      <c r="G240" s="42">
        <f t="shared" si="28"/>
        <v>1</v>
      </c>
      <c r="H240" s="557"/>
      <c r="I240" s="321" t="s">
        <v>1900</v>
      </c>
      <c r="J240" s="544" t="s">
        <v>1956</v>
      </c>
      <c r="K240" s="30"/>
      <c r="L240" s="30"/>
      <c r="M240" s="30"/>
      <c r="N240" s="398" t="s">
        <v>1715</v>
      </c>
    </row>
    <row r="241" spans="1:16" ht="29.25" customHeight="1">
      <c r="A241" s="48" t="s">
        <v>656</v>
      </c>
      <c r="B241" s="33" t="s">
        <v>657</v>
      </c>
      <c r="C241" s="34" t="e">
        <f>VLOOKUP($B$3,[10]QATC10!$B$2:$CM$34,53,FALSE)</f>
        <v>#N/A</v>
      </c>
      <c r="D241" s="35"/>
      <c r="E241" s="35"/>
      <c r="F241" s="34"/>
      <c r="G241" s="36">
        <f>IF(COUNTIF(F242:F251,"Não se aplica")&gt;=2,"Não se aplica",IF(COUNTIF(F242:F251,"Sem classificação")&gt;=2,"Sem classificação",IF(COUNTIF(F242:F251,"Atende")=10,4,IF(COUNTIF(F242:F251,"Atende")&gt;=8,3,IF(COUNTIF(F242:F251,"Atende")&gt;=6,2,IF(COUNTIF(F242:F251,"Atende")&gt;=3,1,0))))))</f>
        <v>3</v>
      </c>
      <c r="H241" s="37"/>
      <c r="I241" s="127"/>
      <c r="J241" s="37"/>
      <c r="K241" s="37"/>
      <c r="L241" s="37"/>
      <c r="M241" s="37"/>
      <c r="N241" s="2"/>
    </row>
    <row r="242" spans="1:16" ht="124.5" customHeight="1">
      <c r="A242" s="47" t="s">
        <v>658</v>
      </c>
      <c r="B242" s="39" t="s">
        <v>659</v>
      </c>
      <c r="C242" s="40"/>
      <c r="D242" s="41"/>
      <c r="E242" s="41"/>
      <c r="F242" s="23" t="s">
        <v>1258</v>
      </c>
      <c r="G242" s="42">
        <f t="shared" ref="G242:G251" si="29">IF(F242="Atende",1,0)</f>
        <v>1</v>
      </c>
      <c r="H242" s="559" t="s">
        <v>660</v>
      </c>
      <c r="I242" s="366" t="s">
        <v>1906</v>
      </c>
      <c r="J242" s="30" t="s">
        <v>1956</v>
      </c>
      <c r="K242" s="30"/>
      <c r="L242" s="30"/>
      <c r="M242" s="30"/>
      <c r="N242" s="376" t="s">
        <v>1716</v>
      </c>
    </row>
    <row r="243" spans="1:16" ht="87" customHeight="1">
      <c r="A243" s="47" t="s">
        <v>661</v>
      </c>
      <c r="B243" s="39" t="s">
        <v>662</v>
      </c>
      <c r="C243" s="40"/>
      <c r="D243" s="41"/>
      <c r="E243" s="41"/>
      <c r="F243" s="23" t="s">
        <v>1258</v>
      </c>
      <c r="G243" s="42">
        <f t="shared" si="29"/>
        <v>1</v>
      </c>
      <c r="H243" s="557"/>
      <c r="I243" s="366" t="s">
        <v>1599</v>
      </c>
      <c r="J243" s="30" t="s">
        <v>1956</v>
      </c>
      <c r="K243" s="30"/>
      <c r="L243" s="30"/>
      <c r="M243" s="30"/>
      <c r="N243" s="376" t="s">
        <v>1716</v>
      </c>
    </row>
    <row r="244" spans="1:16" ht="43.5" customHeight="1">
      <c r="A244" s="47" t="s">
        <v>663</v>
      </c>
      <c r="B244" s="39" t="s">
        <v>664</v>
      </c>
      <c r="C244" s="40"/>
      <c r="D244" s="41"/>
      <c r="E244" s="41"/>
      <c r="F244" s="23" t="s">
        <v>1258</v>
      </c>
      <c r="G244" s="42">
        <f t="shared" si="29"/>
        <v>1</v>
      </c>
      <c r="H244" s="557"/>
      <c r="I244" s="325" t="s">
        <v>1798</v>
      </c>
      <c r="J244" s="30" t="s">
        <v>1956</v>
      </c>
      <c r="K244" s="30"/>
      <c r="L244" s="30"/>
      <c r="M244" s="30"/>
      <c r="N244" s="376" t="s">
        <v>1716</v>
      </c>
    </row>
    <row r="245" spans="1:16" ht="50.25" customHeight="1">
      <c r="A245" s="47" t="s">
        <v>665</v>
      </c>
      <c r="B245" s="39" t="s">
        <v>666</v>
      </c>
      <c r="C245" s="40"/>
      <c r="D245" s="41"/>
      <c r="E245" s="41"/>
      <c r="F245" s="23" t="s">
        <v>1258</v>
      </c>
      <c r="G245" s="42">
        <f t="shared" si="29"/>
        <v>1</v>
      </c>
      <c r="H245" s="557"/>
      <c r="I245" s="366" t="s">
        <v>1600</v>
      </c>
      <c r="J245" s="30" t="s">
        <v>1956</v>
      </c>
      <c r="K245" s="30"/>
      <c r="L245" s="30"/>
      <c r="M245" s="30"/>
      <c r="N245" s="376" t="s">
        <v>1716</v>
      </c>
    </row>
    <row r="246" spans="1:16" ht="24.75" customHeight="1">
      <c r="A246" s="47" t="s">
        <v>667</v>
      </c>
      <c r="B246" s="154" t="s">
        <v>668</v>
      </c>
      <c r="C246" s="40"/>
      <c r="D246" s="41"/>
      <c r="E246" s="41"/>
      <c r="F246" s="421" t="s">
        <v>1258</v>
      </c>
      <c r="G246" s="42">
        <f t="shared" si="29"/>
        <v>1</v>
      </c>
      <c r="H246" s="557"/>
      <c r="I246" s="366" t="s">
        <v>1901</v>
      </c>
      <c r="J246" s="30" t="s">
        <v>1956</v>
      </c>
      <c r="K246" s="30"/>
      <c r="L246" s="30"/>
      <c r="M246" s="30"/>
      <c r="N246" s="376" t="s">
        <v>1716</v>
      </c>
    </row>
    <row r="247" spans="1:16" ht="65.25" customHeight="1">
      <c r="A247" s="47" t="s">
        <v>669</v>
      </c>
      <c r="B247" s="39" t="s">
        <v>670</v>
      </c>
      <c r="C247" s="40"/>
      <c r="D247" s="41"/>
      <c r="E247" s="41"/>
      <c r="F247" s="23" t="s">
        <v>1258</v>
      </c>
      <c r="G247" s="42">
        <f t="shared" si="29"/>
        <v>1</v>
      </c>
      <c r="H247" s="557"/>
      <c r="I247" s="324" t="s">
        <v>1902</v>
      </c>
      <c r="J247" s="30" t="s">
        <v>1956</v>
      </c>
      <c r="K247" s="30"/>
      <c r="L247" s="30"/>
      <c r="M247" s="30"/>
      <c r="N247" s="398" t="s">
        <v>1716</v>
      </c>
    </row>
    <row r="248" spans="1:16" ht="41.25" customHeight="1">
      <c r="A248" s="47" t="s">
        <v>648</v>
      </c>
      <c r="B248" s="387" t="s">
        <v>671</v>
      </c>
      <c r="C248" s="40"/>
      <c r="D248" s="41"/>
      <c r="E248" s="41"/>
      <c r="F248" s="23" t="s">
        <v>1258</v>
      </c>
      <c r="G248" s="42">
        <f t="shared" si="29"/>
        <v>1</v>
      </c>
      <c r="H248" s="557"/>
      <c r="I248" s="366" t="s">
        <v>1950</v>
      </c>
      <c r="J248" s="30" t="s">
        <v>1956</v>
      </c>
      <c r="K248" s="30"/>
      <c r="L248" s="30"/>
      <c r="M248" s="30"/>
      <c r="N248" s="376" t="s">
        <v>1716</v>
      </c>
    </row>
    <row r="249" spans="1:16" ht="31.5" customHeight="1">
      <c r="A249" s="47" t="s">
        <v>672</v>
      </c>
      <c r="B249" s="387" t="s">
        <v>673</v>
      </c>
      <c r="C249" s="40"/>
      <c r="D249" s="41"/>
      <c r="E249" s="41"/>
      <c r="F249" s="23" t="s">
        <v>1258</v>
      </c>
      <c r="G249" s="42">
        <f t="shared" si="29"/>
        <v>1</v>
      </c>
      <c r="H249" s="557"/>
      <c r="I249" s="326" t="s">
        <v>1799</v>
      </c>
      <c r="J249" s="30" t="s">
        <v>1956</v>
      </c>
      <c r="K249" s="30"/>
      <c r="L249" s="30"/>
      <c r="M249" s="30"/>
      <c r="N249" s="376" t="s">
        <v>1716</v>
      </c>
    </row>
    <row r="250" spans="1:16" ht="45" customHeight="1">
      <c r="A250" s="47" t="s">
        <v>674</v>
      </c>
      <c r="B250" s="39" t="s">
        <v>675</v>
      </c>
      <c r="C250" s="40"/>
      <c r="D250" s="41"/>
      <c r="E250" s="41"/>
      <c r="F250" s="23"/>
      <c r="G250" s="42">
        <f t="shared" si="29"/>
        <v>0</v>
      </c>
      <c r="H250" s="557"/>
      <c r="I250" s="325" t="s">
        <v>1907</v>
      </c>
      <c r="J250" s="30"/>
      <c r="K250" s="30"/>
      <c r="L250" s="30"/>
      <c r="M250" s="30"/>
      <c r="N250" s="2"/>
    </row>
    <row r="251" spans="1:16" ht="24.75" customHeight="1">
      <c r="A251" s="47" t="s">
        <v>676</v>
      </c>
      <c r="B251" s="39" t="s">
        <v>677</v>
      </c>
      <c r="C251" s="40"/>
      <c r="D251" s="53"/>
      <c r="E251" s="53"/>
      <c r="F251" s="23"/>
      <c r="G251" s="42">
        <f t="shared" si="29"/>
        <v>0</v>
      </c>
      <c r="H251" s="557"/>
      <c r="I251" s="327" t="s">
        <v>1858</v>
      </c>
      <c r="J251" s="30"/>
      <c r="K251" s="30"/>
      <c r="L251" s="30"/>
      <c r="M251" s="30"/>
      <c r="N251" s="2"/>
    </row>
    <row r="252" spans="1:16" ht="23.25" customHeight="1">
      <c r="A252" s="91" t="s">
        <v>678</v>
      </c>
      <c r="B252" s="52" t="s">
        <v>679</v>
      </c>
      <c r="C252" s="93" t="s">
        <v>680</v>
      </c>
      <c r="D252" s="53"/>
      <c r="E252" s="17">
        <f>SUM(G254,G262,G276,G283)</f>
        <v>9</v>
      </c>
      <c r="F252" s="158"/>
      <c r="G252" s="19" t="str">
        <f>IF(H252&gt;=2,"Não se aplica",IF(I252&gt;=2,"Sem classificação",IF(F252=4,IF(E252&lt;=2,0,IF(E252&lt;=6,1,IF(E252&lt;=10,2,IF(E252&lt;=14,3,4)))),IF(F252=3,ROUND(AVERAGE(G254,G262,G276,G283),0),IF(F252=2,ROUNDDOWN(AVERAGE(G254,G262,G276,G283),0),"Não se aplica")))))</f>
        <v>Não se aplica</v>
      </c>
      <c r="H252" s="20">
        <f>COUNTIF(G254:G283,"Não se aplica")</f>
        <v>0</v>
      </c>
      <c r="I252" s="21"/>
      <c r="J252" s="22"/>
      <c r="K252" s="22"/>
      <c r="L252" s="22"/>
      <c r="M252" s="22"/>
      <c r="N252" s="2"/>
    </row>
    <row r="253" spans="1:16" ht="24" customHeight="1">
      <c r="A253" s="54" t="s">
        <v>18</v>
      </c>
      <c r="B253" s="55" t="s">
        <v>19</v>
      </c>
      <c r="C253" s="25"/>
      <c r="D253" s="26"/>
      <c r="E253" s="26"/>
      <c r="F253" s="27"/>
      <c r="G253" s="28"/>
      <c r="H253" s="29"/>
      <c r="I253" s="30"/>
      <c r="J253" s="30"/>
      <c r="K253" s="30"/>
      <c r="L253" s="30"/>
      <c r="M253" s="30"/>
      <c r="N253" s="2"/>
    </row>
    <row r="254" spans="1:16" ht="24.75" customHeight="1">
      <c r="A254" s="48" t="s">
        <v>681</v>
      </c>
      <c r="B254" s="33" t="s">
        <v>682</v>
      </c>
      <c r="C254" s="34" t="e">
        <f>VLOOKUP($B$3,[11]QATC11!$B$2:$BT$34,2,FALSE)</f>
        <v>#N/A</v>
      </c>
      <c r="D254" s="35"/>
      <c r="E254" s="35"/>
      <c r="F254" s="34"/>
      <c r="G254" s="97">
        <f>IF(COUNTIF(F255:F261,"Não se aplica")&gt;=2,"Não se aplica",IF(COUNTIF(F255:F261,"Sem classificação")&gt;=2,"Sem classificação",IF(COUNTIF(F255:F261,"Atende")=7,4,IF(COUNTIF(F255:F261,"Atende")&gt;=5,3,IF(COUNTIF(F255:F261,"Atende")&gt;=3,2,IF(COUNTIF(F255:F261,"Atende")&gt;=1,1,0))))))</f>
        <v>2</v>
      </c>
      <c r="H254" s="34"/>
      <c r="I254" s="37"/>
      <c r="J254" s="37"/>
      <c r="K254" s="37"/>
      <c r="L254" s="37"/>
      <c r="M254" s="37"/>
      <c r="N254" s="2"/>
    </row>
    <row r="255" spans="1:16" ht="54.75" customHeight="1">
      <c r="A255" s="47" t="s">
        <v>683</v>
      </c>
      <c r="B255" s="387" t="s">
        <v>684</v>
      </c>
      <c r="C255" s="40"/>
      <c r="D255" s="41"/>
      <c r="E255" s="41"/>
      <c r="F255" s="421" t="s">
        <v>1258</v>
      </c>
      <c r="G255" s="42">
        <f t="shared" ref="G255:G261" si="30">IF(F255="Atende",1,0)</f>
        <v>1</v>
      </c>
      <c r="H255" s="561" t="s">
        <v>685</v>
      </c>
      <c r="I255" s="366" t="s">
        <v>1847</v>
      </c>
      <c r="J255" s="30" t="s">
        <v>1956</v>
      </c>
      <c r="K255" s="30"/>
      <c r="L255" s="30"/>
      <c r="M255" s="30"/>
      <c r="N255" s="376" t="s">
        <v>1887</v>
      </c>
    </row>
    <row r="256" spans="1:16" ht="31.5" customHeight="1">
      <c r="A256" s="47" t="s">
        <v>686</v>
      </c>
      <c r="B256" s="154" t="s">
        <v>687</v>
      </c>
      <c r="C256" s="40"/>
      <c r="D256" s="41"/>
      <c r="E256" s="41"/>
      <c r="F256" s="421" t="s">
        <v>1258</v>
      </c>
      <c r="G256" s="42">
        <f t="shared" si="30"/>
        <v>1</v>
      </c>
      <c r="H256" s="557"/>
      <c r="I256" s="328" t="s">
        <v>1891</v>
      </c>
      <c r="J256" s="30" t="s">
        <v>1956</v>
      </c>
      <c r="K256" s="30"/>
      <c r="L256" s="30"/>
      <c r="M256" s="30"/>
      <c r="N256" s="353" t="s">
        <v>1955</v>
      </c>
      <c r="O256" s="420" t="s">
        <v>1827</v>
      </c>
      <c r="P256" s="420" t="s">
        <v>1888</v>
      </c>
    </row>
    <row r="257" spans="1:14" ht="87.75" customHeight="1">
      <c r="A257" s="47" t="s">
        <v>688</v>
      </c>
      <c r="B257" s="39" t="s">
        <v>689</v>
      </c>
      <c r="C257" s="40"/>
      <c r="D257" s="41"/>
      <c r="E257" s="41"/>
      <c r="F257" s="23" t="s">
        <v>1258</v>
      </c>
      <c r="G257" s="42">
        <f t="shared" si="30"/>
        <v>1</v>
      </c>
      <c r="H257" s="557"/>
      <c r="I257" s="328" t="s">
        <v>1903</v>
      </c>
      <c r="J257" s="30" t="s">
        <v>1956</v>
      </c>
      <c r="K257" s="30"/>
      <c r="L257" s="30"/>
      <c r="M257" s="30"/>
      <c r="N257" s="376" t="s">
        <v>1717</v>
      </c>
    </row>
    <row r="258" spans="1:14" ht="48" customHeight="1">
      <c r="A258" s="47" t="s">
        <v>690</v>
      </c>
      <c r="B258" s="154" t="s">
        <v>691</v>
      </c>
      <c r="C258" s="40"/>
      <c r="D258" s="41"/>
      <c r="E258" s="41"/>
      <c r="F258" s="421" t="s">
        <v>1258</v>
      </c>
      <c r="G258" s="42">
        <f t="shared" si="30"/>
        <v>1</v>
      </c>
      <c r="H258" s="557"/>
      <c r="I258" s="366" t="s">
        <v>1908</v>
      </c>
      <c r="J258" s="30" t="s">
        <v>1956</v>
      </c>
      <c r="K258" s="30"/>
      <c r="L258" s="30"/>
      <c r="M258" s="30"/>
      <c r="N258" s="376" t="s">
        <v>1887</v>
      </c>
    </row>
    <row r="259" spans="1:14" ht="36" customHeight="1">
      <c r="A259" s="47" t="s">
        <v>692</v>
      </c>
      <c r="B259" s="39" t="s">
        <v>693</v>
      </c>
      <c r="C259" s="40"/>
      <c r="D259" s="41"/>
      <c r="E259" s="41"/>
      <c r="F259" s="23"/>
      <c r="G259" s="42">
        <f t="shared" si="30"/>
        <v>0</v>
      </c>
      <c r="H259" s="557"/>
      <c r="I259" s="366" t="s">
        <v>1913</v>
      </c>
      <c r="J259" s="30"/>
      <c r="K259" s="30"/>
      <c r="L259" s="30"/>
      <c r="M259" s="30"/>
      <c r="N259" s="2"/>
    </row>
    <row r="260" spans="1:14" ht="22.5" customHeight="1">
      <c r="A260" s="47" t="s">
        <v>694</v>
      </c>
      <c r="B260" s="39" t="s">
        <v>695</v>
      </c>
      <c r="C260" s="40"/>
      <c r="D260" s="41"/>
      <c r="E260" s="41"/>
      <c r="F260" s="23"/>
      <c r="G260" s="42">
        <f t="shared" si="30"/>
        <v>0</v>
      </c>
      <c r="H260" s="557"/>
      <c r="I260" s="366" t="s">
        <v>1848</v>
      </c>
      <c r="J260" s="30"/>
      <c r="K260" s="30"/>
      <c r="L260" s="30"/>
      <c r="M260" s="30"/>
      <c r="N260" s="2"/>
    </row>
    <row r="261" spans="1:14" ht="66" customHeight="1">
      <c r="A261" s="47" t="s">
        <v>696</v>
      </c>
      <c r="B261" s="39" t="s">
        <v>697</v>
      </c>
      <c r="C261" s="40"/>
      <c r="D261" s="41"/>
      <c r="E261" s="41"/>
      <c r="F261" s="23"/>
      <c r="G261" s="42">
        <f t="shared" si="30"/>
        <v>0</v>
      </c>
      <c r="H261" s="557"/>
      <c r="I261" s="328" t="s">
        <v>1909</v>
      </c>
      <c r="J261" s="30"/>
      <c r="K261" s="30"/>
      <c r="L261" s="30"/>
      <c r="M261" s="30"/>
      <c r="N261" s="2"/>
    </row>
    <row r="262" spans="1:14" ht="24" customHeight="1">
      <c r="A262" s="48" t="s">
        <v>698</v>
      </c>
      <c r="B262" s="33" t="s">
        <v>699</v>
      </c>
      <c r="C262" s="34" t="e">
        <f>VLOOKUP($B$3,[11]QATC11!$B$2:$BT$34,17,FALSE)</f>
        <v>#N/A</v>
      </c>
      <c r="D262" s="35"/>
      <c r="E262" s="35"/>
      <c r="F262" s="34"/>
      <c r="G262" s="37">
        <f>IF(COUNTIF(F263:F275,"Não se aplica")&gt;=2,"Não se aplica",IF(COUNTIF(F263:F275,"Sem classificação")&gt;=2,"Sem classificação",IF(AND(COUNTIF(F263:F275,"Atende")&gt;=10,F263="Atende",F264="Atende",F265="Atende",F266="Atende",F271="Atende"),4,IF(COUNTIF(F263:F275,"Atende")&gt;=8,3,IF(COUNTIF(F263:F275,"Atende")&gt;=6,2,IF(COUNTIF(F263:F275,"Atende")&gt;=4,1,0))))))</f>
        <v>2</v>
      </c>
      <c r="H262" s="34"/>
      <c r="I262" s="159"/>
      <c r="J262" s="37"/>
      <c r="K262" s="37"/>
      <c r="L262" s="37"/>
      <c r="M262" s="37"/>
      <c r="N262" s="2"/>
    </row>
    <row r="263" spans="1:14" ht="57" customHeight="1">
      <c r="A263" s="47" t="s">
        <v>700</v>
      </c>
      <c r="B263" s="39" t="s">
        <v>701</v>
      </c>
      <c r="C263" s="40"/>
      <c r="D263" s="41"/>
      <c r="E263" s="41"/>
      <c r="F263" s="421"/>
      <c r="G263" s="42">
        <f t="shared" ref="G263:G275" si="31">IF(F263="Atende",1,0)</f>
        <v>0</v>
      </c>
      <c r="H263" s="561" t="s">
        <v>702</v>
      </c>
      <c r="I263" s="329" t="s">
        <v>1601</v>
      </c>
      <c r="J263" s="30"/>
      <c r="K263" s="30"/>
      <c r="L263" s="30"/>
      <c r="M263" s="30"/>
      <c r="N263" s="2"/>
    </row>
    <row r="264" spans="1:14" ht="46.5" customHeight="1">
      <c r="A264" s="47" t="s">
        <v>703</v>
      </c>
      <c r="B264" s="154" t="s">
        <v>704</v>
      </c>
      <c r="C264" s="40"/>
      <c r="D264" s="41"/>
      <c r="E264" s="41"/>
      <c r="F264" s="421" t="s">
        <v>1258</v>
      </c>
      <c r="G264" s="42">
        <f t="shared" si="31"/>
        <v>1</v>
      </c>
      <c r="H264" s="557"/>
      <c r="I264" s="329" t="s">
        <v>1602</v>
      </c>
      <c r="J264" s="30" t="s">
        <v>1956</v>
      </c>
      <c r="K264" s="30"/>
      <c r="L264" s="30"/>
      <c r="M264" s="30"/>
      <c r="N264" s="376" t="s">
        <v>1720</v>
      </c>
    </row>
    <row r="265" spans="1:14" ht="46.5" customHeight="1">
      <c r="A265" s="47" t="s">
        <v>705</v>
      </c>
      <c r="B265" s="39" t="s">
        <v>706</v>
      </c>
      <c r="C265" s="40"/>
      <c r="D265" s="41"/>
      <c r="E265" s="41"/>
      <c r="F265" s="23" t="s">
        <v>1258</v>
      </c>
      <c r="G265" s="42">
        <f t="shared" si="31"/>
        <v>1</v>
      </c>
      <c r="H265" s="557"/>
      <c r="I265" s="329" t="s">
        <v>1910</v>
      </c>
      <c r="J265" s="30" t="s">
        <v>1956</v>
      </c>
      <c r="K265" s="30"/>
      <c r="L265" s="30"/>
      <c r="M265" s="30"/>
      <c r="N265" s="376" t="s">
        <v>1720</v>
      </c>
    </row>
    <row r="266" spans="1:14" ht="30.75" customHeight="1">
      <c r="A266" s="47" t="s">
        <v>707</v>
      </c>
      <c r="B266" s="39" t="s">
        <v>708</v>
      </c>
      <c r="C266" s="40"/>
      <c r="D266" s="41"/>
      <c r="E266" s="41"/>
      <c r="F266" s="23" t="s">
        <v>1258</v>
      </c>
      <c r="G266" s="42">
        <f t="shared" si="31"/>
        <v>1</v>
      </c>
      <c r="H266" s="557"/>
      <c r="I266" s="329" t="s">
        <v>1800</v>
      </c>
      <c r="J266" s="30" t="s">
        <v>1956</v>
      </c>
      <c r="K266" s="30"/>
      <c r="L266" s="30"/>
      <c r="M266" s="30"/>
      <c r="N266" s="376" t="s">
        <v>1720</v>
      </c>
    </row>
    <row r="267" spans="1:14" ht="57.75" customHeight="1">
      <c r="A267" s="47" t="s">
        <v>709</v>
      </c>
      <c r="B267" s="39" t="s">
        <v>710</v>
      </c>
      <c r="C267" s="40"/>
      <c r="D267" s="41"/>
      <c r="E267" s="41"/>
      <c r="F267" s="23"/>
      <c r="G267" s="42">
        <f t="shared" si="31"/>
        <v>0</v>
      </c>
      <c r="H267" s="557"/>
      <c r="I267" s="329"/>
      <c r="J267" s="30"/>
      <c r="K267" s="30"/>
      <c r="L267" s="30"/>
      <c r="M267" s="30"/>
      <c r="N267" s="2"/>
    </row>
    <row r="268" spans="1:14" ht="35.25" customHeight="1">
      <c r="A268" s="47" t="s">
        <v>711</v>
      </c>
      <c r="B268" s="39" t="s">
        <v>712</v>
      </c>
      <c r="C268" s="40"/>
      <c r="D268" s="41"/>
      <c r="E268" s="41"/>
      <c r="F268" s="23" t="s">
        <v>1258</v>
      </c>
      <c r="G268" s="42">
        <f t="shared" si="31"/>
        <v>1</v>
      </c>
      <c r="H268" s="557"/>
      <c r="I268" s="329" t="s">
        <v>1816</v>
      </c>
      <c r="J268" s="30" t="s">
        <v>1956</v>
      </c>
      <c r="K268" s="30"/>
      <c r="L268" s="30"/>
      <c r="M268" s="30"/>
      <c r="N268" s="376" t="s">
        <v>1720</v>
      </c>
    </row>
    <row r="269" spans="1:14" ht="27" customHeight="1">
      <c r="A269" s="47" t="s">
        <v>713</v>
      </c>
      <c r="B269" s="39" t="s">
        <v>714</v>
      </c>
      <c r="C269" s="40"/>
      <c r="D269" s="41"/>
      <c r="E269" s="41"/>
      <c r="F269" s="23" t="s">
        <v>1258</v>
      </c>
      <c r="G269" s="42">
        <f t="shared" si="31"/>
        <v>1</v>
      </c>
      <c r="H269" s="557"/>
      <c r="I269" s="329" t="s">
        <v>1859</v>
      </c>
      <c r="J269" s="30" t="s">
        <v>1956</v>
      </c>
      <c r="K269" s="30"/>
      <c r="L269" s="30"/>
      <c r="M269" s="30"/>
      <c r="N269" s="2"/>
    </row>
    <row r="270" spans="1:14" ht="36.75" customHeight="1">
      <c r="A270" s="47" t="s">
        <v>715</v>
      </c>
      <c r="B270" s="387" t="s">
        <v>716</v>
      </c>
      <c r="C270" s="40"/>
      <c r="D270" s="41"/>
      <c r="E270" s="41"/>
      <c r="F270" s="421"/>
      <c r="G270" s="42">
        <f t="shared" si="31"/>
        <v>0</v>
      </c>
      <c r="H270" s="557"/>
      <c r="I270" s="329" t="s">
        <v>1879</v>
      </c>
      <c r="J270" s="30"/>
      <c r="K270" s="30"/>
      <c r="L270" s="30"/>
      <c r="M270" s="30"/>
      <c r="N270" s="412"/>
    </row>
    <row r="271" spans="1:14" ht="31.5" customHeight="1">
      <c r="A271" s="47" t="s">
        <v>717</v>
      </c>
      <c r="B271" s="39" t="s">
        <v>718</v>
      </c>
      <c r="C271" s="40"/>
      <c r="D271" s="41"/>
      <c r="E271" s="41"/>
      <c r="F271" s="23"/>
      <c r="G271" s="42">
        <f t="shared" si="31"/>
        <v>0</v>
      </c>
      <c r="H271" s="557"/>
      <c r="I271" s="329"/>
      <c r="J271" s="30"/>
      <c r="K271" s="30"/>
      <c r="L271" s="30"/>
      <c r="M271" s="30"/>
      <c r="N271" s="2"/>
    </row>
    <row r="272" spans="1:14" ht="29.25" customHeight="1">
      <c r="A272" s="47" t="s">
        <v>719</v>
      </c>
      <c r="B272" s="39" t="s">
        <v>720</v>
      </c>
      <c r="C272" s="40"/>
      <c r="D272" s="41"/>
      <c r="E272" s="41"/>
      <c r="F272" s="23" t="s">
        <v>1258</v>
      </c>
      <c r="G272" s="42">
        <f t="shared" si="31"/>
        <v>1</v>
      </c>
      <c r="H272" s="557"/>
      <c r="I272" s="330" t="s">
        <v>1911</v>
      </c>
      <c r="J272" s="30" t="s">
        <v>1956</v>
      </c>
      <c r="K272" s="30"/>
      <c r="L272" s="30"/>
      <c r="M272" s="30"/>
      <c r="N272" s="376" t="s">
        <v>1720</v>
      </c>
    </row>
    <row r="273" spans="1:14" ht="24.75" customHeight="1">
      <c r="A273" s="47" t="s">
        <v>721</v>
      </c>
      <c r="B273" s="39" t="s">
        <v>722</v>
      </c>
      <c r="C273" s="40"/>
      <c r="D273" s="41"/>
      <c r="E273" s="41"/>
      <c r="F273" s="23"/>
      <c r="G273" s="42">
        <f t="shared" si="31"/>
        <v>0</v>
      </c>
      <c r="H273" s="557"/>
      <c r="I273" s="329"/>
      <c r="J273" s="30"/>
      <c r="K273" s="30"/>
      <c r="L273" s="30"/>
      <c r="M273" s="30"/>
    </row>
    <row r="274" spans="1:14" ht="31.5" customHeight="1">
      <c r="A274" s="47" t="s">
        <v>723</v>
      </c>
      <c r="B274" s="387" t="s">
        <v>724</v>
      </c>
      <c r="C274" s="40"/>
      <c r="D274" s="41"/>
      <c r="E274" s="41"/>
      <c r="F274" s="421"/>
      <c r="G274" s="42">
        <f t="shared" si="31"/>
        <v>0</v>
      </c>
      <c r="H274" s="557"/>
      <c r="I274" s="329"/>
      <c r="J274" s="30"/>
      <c r="K274" s="30"/>
      <c r="L274" s="30"/>
      <c r="M274" s="30"/>
      <c r="N274" s="2"/>
    </row>
    <row r="275" spans="1:14" ht="18.75" customHeight="1">
      <c r="A275" s="47" t="s">
        <v>725</v>
      </c>
      <c r="B275" s="39" t="s">
        <v>726</v>
      </c>
      <c r="C275" s="40"/>
      <c r="D275" s="41"/>
      <c r="E275" s="41"/>
      <c r="F275" s="23"/>
      <c r="G275" s="42">
        <f t="shared" si="31"/>
        <v>0</v>
      </c>
      <c r="H275" s="557"/>
      <c r="I275" s="331"/>
      <c r="J275" s="30"/>
      <c r="K275" s="30"/>
      <c r="L275" s="30"/>
      <c r="M275" s="30"/>
      <c r="N275" s="2"/>
    </row>
    <row r="276" spans="1:14" ht="24" customHeight="1">
      <c r="A276" s="48" t="s">
        <v>727</v>
      </c>
      <c r="B276" s="33" t="s">
        <v>728</v>
      </c>
      <c r="C276" s="34" t="e">
        <f>VLOOKUP($B$3,[11]QATC11!$B$2:$BT$34,38,FALSE)</f>
        <v>#N/A</v>
      </c>
      <c r="D276" s="35"/>
      <c r="E276" s="35"/>
      <c r="F276" s="34"/>
      <c r="G276" s="97">
        <f>IF(COUNTIF(F277:F282,"Não se aplica")&gt;=2,"Não se aplica",IF(COUNTIF(F277:F282,"Sem classificação")&gt;=2,"Sem classificação",IF(COUNTIF(F277:F282,"Atende")=6,4,IF(COUNTIF(F277:F282,"Atende")&gt;=5,3,IF(COUNTIF(F277:F282,"Atende")&gt;=3,2,IF(COUNTIF(F277:F282,"Atende")&gt;=1,1,0))))))</f>
        <v>2</v>
      </c>
      <c r="H276" s="34"/>
      <c r="I276" s="37"/>
      <c r="J276" s="37"/>
      <c r="K276" s="37"/>
      <c r="L276" s="37"/>
      <c r="M276" s="37"/>
      <c r="N276" s="2"/>
    </row>
    <row r="277" spans="1:14" ht="42.75" customHeight="1">
      <c r="A277" s="47" t="s">
        <v>729</v>
      </c>
      <c r="B277" s="39" t="s">
        <v>730</v>
      </c>
      <c r="C277" s="40"/>
      <c r="D277" s="41"/>
      <c r="E277" s="41"/>
      <c r="F277" s="23" t="s">
        <v>1258</v>
      </c>
      <c r="G277" s="42">
        <f t="shared" ref="G277:G282" si="32">IF(F277="Atende",1,0)</f>
        <v>1</v>
      </c>
      <c r="H277" s="561" t="s">
        <v>731</v>
      </c>
      <c r="I277" s="332" t="s">
        <v>1801</v>
      </c>
      <c r="J277" s="30" t="s">
        <v>1956</v>
      </c>
      <c r="K277" s="30"/>
      <c r="L277" s="30"/>
      <c r="M277" s="30"/>
      <c r="N277" s="376" t="s">
        <v>1718</v>
      </c>
    </row>
    <row r="278" spans="1:14" ht="35.25" customHeight="1">
      <c r="A278" s="47" t="s">
        <v>732</v>
      </c>
      <c r="B278" s="387" t="s">
        <v>733</v>
      </c>
      <c r="C278" s="40"/>
      <c r="D278" s="41"/>
      <c r="E278" s="41"/>
      <c r="F278" s="372" t="s">
        <v>1258</v>
      </c>
      <c r="G278" s="42">
        <f t="shared" si="32"/>
        <v>1</v>
      </c>
      <c r="H278" s="557"/>
      <c r="I278" s="429" t="s">
        <v>1854</v>
      </c>
      <c r="J278" s="30" t="s">
        <v>1956</v>
      </c>
      <c r="K278" s="30"/>
      <c r="L278" s="30"/>
      <c r="M278" s="30"/>
      <c r="N278" s="2"/>
    </row>
    <row r="279" spans="1:14" ht="41.25" customHeight="1">
      <c r="A279" s="47" t="s">
        <v>734</v>
      </c>
      <c r="B279" s="39" t="s">
        <v>735</v>
      </c>
      <c r="C279" s="40"/>
      <c r="D279" s="41"/>
      <c r="E279" s="41"/>
      <c r="F279" s="23"/>
      <c r="G279" s="42">
        <f t="shared" si="32"/>
        <v>0</v>
      </c>
      <c r="H279" s="557"/>
      <c r="I279" s="358" t="s">
        <v>1880</v>
      </c>
      <c r="J279" s="30"/>
      <c r="K279" s="30"/>
      <c r="L279" s="30"/>
      <c r="M279" s="30"/>
      <c r="N279" s="2"/>
    </row>
    <row r="280" spans="1:14" ht="94.5" customHeight="1">
      <c r="A280" s="47" t="s">
        <v>736</v>
      </c>
      <c r="B280" s="387" t="s">
        <v>737</v>
      </c>
      <c r="C280" s="40"/>
      <c r="D280" s="41"/>
      <c r="E280" s="41"/>
      <c r="F280" s="23"/>
      <c r="G280" s="42">
        <f t="shared" si="32"/>
        <v>0</v>
      </c>
      <c r="H280" s="557"/>
      <c r="I280" s="333" t="s">
        <v>1912</v>
      </c>
      <c r="J280" s="30"/>
      <c r="K280" s="30"/>
      <c r="L280" s="30"/>
      <c r="M280" s="30"/>
      <c r="N280" s="376"/>
    </row>
    <row r="281" spans="1:14" ht="31.5" customHeight="1">
      <c r="A281" s="47" t="s">
        <v>738</v>
      </c>
      <c r="B281" s="39" t="s">
        <v>739</v>
      </c>
      <c r="C281" s="40"/>
      <c r="D281" s="41"/>
      <c r="E281" s="41"/>
      <c r="F281" s="23" t="s">
        <v>1258</v>
      </c>
      <c r="G281" s="42">
        <f t="shared" si="32"/>
        <v>1</v>
      </c>
      <c r="H281" s="557"/>
      <c r="I281" s="332" t="s">
        <v>1803</v>
      </c>
      <c r="J281" s="30" t="s">
        <v>1956</v>
      </c>
      <c r="K281" s="30"/>
      <c r="L281" s="30"/>
      <c r="M281" s="30"/>
      <c r="N281" s="376" t="s">
        <v>1718</v>
      </c>
    </row>
    <row r="282" spans="1:14" ht="26.25" customHeight="1">
      <c r="A282" s="47" t="s">
        <v>740</v>
      </c>
      <c r="B282" s="39" t="s">
        <v>741</v>
      </c>
      <c r="C282" s="40"/>
      <c r="D282" s="41"/>
      <c r="E282" s="41"/>
      <c r="F282" s="23" t="s">
        <v>1258</v>
      </c>
      <c r="G282" s="42">
        <f t="shared" si="32"/>
        <v>1</v>
      </c>
      <c r="H282" s="557"/>
      <c r="I282" s="332" t="s">
        <v>1802</v>
      </c>
      <c r="J282" s="30" t="s">
        <v>1956</v>
      </c>
      <c r="K282" s="30"/>
      <c r="L282" s="30"/>
      <c r="M282" s="30"/>
      <c r="N282" s="376" t="s">
        <v>1718</v>
      </c>
    </row>
    <row r="283" spans="1:14" ht="30" customHeight="1">
      <c r="A283" s="48" t="s">
        <v>742</v>
      </c>
      <c r="B283" s="33" t="s">
        <v>743</v>
      </c>
      <c r="C283" s="34" t="e">
        <f>VLOOKUP($B$3,[11]QATC11!$B$2:$BT$34,53,FALSE)</f>
        <v>#N/A</v>
      </c>
      <c r="D283" s="35"/>
      <c r="E283" s="35"/>
      <c r="F283" s="34"/>
      <c r="G283" s="36">
        <f>IF(COUNTIF(F284:F287,"Não se aplica")&gt;=2,"Não se aplica",IF(COUNTIF(F284:F287,"Sem classificação")&gt;=2,"Sem classificação",IF(COUNTIF(F284:F287,"Atende")=4,4,IF(COUNTIF(F284:F287,"Atende")=3,3,IF(COUNTIF(F284:F287,"Atende")=2,2,IF(COUNTIF(F284:F287,"Atende")=1,1,0))))))</f>
        <v>3</v>
      </c>
      <c r="H283" s="37"/>
      <c r="I283" s="127"/>
      <c r="J283" s="37"/>
      <c r="K283" s="37"/>
      <c r="L283" s="37"/>
      <c r="M283" s="37"/>
      <c r="N283" s="2"/>
    </row>
    <row r="284" spans="1:14" ht="126.75" customHeight="1">
      <c r="A284" s="47" t="s">
        <v>744</v>
      </c>
      <c r="B284" s="39" t="s">
        <v>745</v>
      </c>
      <c r="C284" s="40"/>
      <c r="D284" s="41"/>
      <c r="E284" s="41"/>
      <c r="F284" s="23" t="s">
        <v>1258</v>
      </c>
      <c r="G284" s="42">
        <f t="shared" ref="G284:G287" si="33">IF(F284="Atende",1,0)</f>
        <v>1</v>
      </c>
      <c r="H284" s="559" t="s">
        <v>746</v>
      </c>
      <c r="I284" s="334" t="s">
        <v>1603</v>
      </c>
      <c r="J284" s="30" t="s">
        <v>1956</v>
      </c>
      <c r="K284" s="30"/>
      <c r="L284" s="30"/>
      <c r="M284" s="30"/>
      <c r="N284" s="2"/>
    </row>
    <row r="285" spans="1:14" ht="93" customHeight="1">
      <c r="A285" s="47" t="s">
        <v>747</v>
      </c>
      <c r="B285" s="445" t="s">
        <v>748</v>
      </c>
      <c r="C285" s="40"/>
      <c r="D285" s="41"/>
      <c r="E285" s="41"/>
      <c r="F285" s="23"/>
      <c r="G285" s="42">
        <f t="shared" si="33"/>
        <v>0</v>
      </c>
      <c r="H285" s="557"/>
      <c r="I285" s="334"/>
      <c r="J285" s="30"/>
      <c r="K285" s="30"/>
      <c r="L285" s="30"/>
      <c r="M285" s="30"/>
      <c r="N285" s="2"/>
    </row>
    <row r="286" spans="1:14" ht="116.25" customHeight="1">
      <c r="A286" s="47" t="s">
        <v>749</v>
      </c>
      <c r="B286" s="160" t="s">
        <v>750</v>
      </c>
      <c r="C286" s="40"/>
      <c r="D286" s="41"/>
      <c r="E286" s="41"/>
      <c r="F286" s="23" t="s">
        <v>1258</v>
      </c>
      <c r="G286" s="42">
        <f t="shared" si="33"/>
        <v>1</v>
      </c>
      <c r="H286" s="557"/>
      <c r="I286" s="334" t="s">
        <v>1817</v>
      </c>
      <c r="J286" s="30" t="s">
        <v>1956</v>
      </c>
      <c r="K286" s="30"/>
      <c r="L286" s="30"/>
      <c r="M286" s="30"/>
      <c r="N286" s="376" t="s">
        <v>1721</v>
      </c>
    </row>
    <row r="287" spans="1:14" ht="108.75" customHeight="1">
      <c r="A287" s="47" t="s">
        <v>751</v>
      </c>
      <c r="B287" s="384" t="s">
        <v>752</v>
      </c>
      <c r="C287" s="40"/>
      <c r="D287" s="53"/>
      <c r="E287" s="53"/>
      <c r="F287" s="421" t="s">
        <v>1258</v>
      </c>
      <c r="G287" s="42">
        <f t="shared" si="33"/>
        <v>1</v>
      </c>
      <c r="H287" s="557"/>
      <c r="I287" s="348" t="s">
        <v>1860</v>
      </c>
      <c r="J287" s="30" t="s">
        <v>1956</v>
      </c>
      <c r="K287" s="348"/>
      <c r="L287" s="30"/>
      <c r="M287" s="30"/>
      <c r="N287" s="2"/>
    </row>
    <row r="288" spans="1:14" ht="27" customHeight="1">
      <c r="A288" s="91" t="s">
        <v>753</v>
      </c>
      <c r="B288" s="52" t="s">
        <v>754</v>
      </c>
      <c r="C288" s="13" t="s">
        <v>755</v>
      </c>
      <c r="D288" s="53"/>
      <c r="E288" s="17">
        <f>SUM(G290,G295,G300,G309)</f>
        <v>11</v>
      </c>
      <c r="F288" s="158"/>
      <c r="G288" s="19" t="str">
        <f>IF(H288&gt;=2,"Não se aplica",IF(I288&gt;=2,"Sem classificação",IF(F288=4,IF(E288&lt;=2,0,IF(E288&lt;=6,1,IF(E288&lt;=10,2,IF(E288&lt;=14,3,4)))),IF(F288=3,ROUND(AVERAGE(G290,G295,G300,G309),0),IF(F288=2,ROUNDDOWN(AVERAGE(G290,G295,G300,G309),0),"Não se aplica")))))</f>
        <v>Não se aplica</v>
      </c>
      <c r="H288" s="20">
        <f>COUNTIF(G290:G309,"Não se aplica")</f>
        <v>0</v>
      </c>
      <c r="I288" s="21"/>
      <c r="J288" s="22"/>
      <c r="K288" s="22"/>
      <c r="L288" s="22"/>
      <c r="M288" s="22"/>
      <c r="N288" s="2"/>
    </row>
    <row r="289" spans="1:14" ht="18" customHeight="1">
      <c r="A289" s="54" t="s">
        <v>18</v>
      </c>
      <c r="B289" s="55" t="s">
        <v>19</v>
      </c>
      <c r="C289" s="25"/>
      <c r="D289" s="26"/>
      <c r="E289" s="26"/>
      <c r="F289" s="27"/>
      <c r="G289" s="28"/>
      <c r="H289" s="29"/>
      <c r="I289" s="30"/>
      <c r="J289" s="30"/>
      <c r="K289" s="30"/>
      <c r="L289" s="30"/>
      <c r="M289" s="30"/>
      <c r="N289" s="2"/>
    </row>
    <row r="290" spans="1:14" ht="25.5" customHeight="1">
      <c r="A290" s="48" t="s">
        <v>756</v>
      </c>
      <c r="B290" s="33" t="s">
        <v>757</v>
      </c>
      <c r="C290" s="34" t="e">
        <f>VLOOKUP($B$3,[12]QATC12!$B$2:$BQ$34,2,FALSE)</f>
        <v>#N/A</v>
      </c>
      <c r="D290" s="35"/>
      <c r="E290" s="35"/>
      <c r="F290" s="34"/>
      <c r="G290" s="97">
        <f>IF(COUNTIF(F291:F294,"Não se aplica")&gt;=2,"Não se aplica",IF(COUNTIF(F291:F294,"Sem classificação")&gt;=2,"Sem classificação",IF(COUNTIF(F291:F294,"Atende")=4,4,IF(COUNTIF(F291:F294,"Atende")=3,3,IF(COUNTIF(F291:F294,"Atende")=2,2,IF(COUNTIF(F291:F294,"Atende")=1,1,0))))))</f>
        <v>3</v>
      </c>
      <c r="H290" s="34"/>
      <c r="I290" s="37"/>
      <c r="J290" s="37"/>
      <c r="K290" s="37"/>
      <c r="L290" s="37"/>
      <c r="M290" s="37"/>
      <c r="N290" s="2"/>
    </row>
    <row r="291" spans="1:14" ht="57" customHeight="1">
      <c r="A291" s="47" t="s">
        <v>758</v>
      </c>
      <c r="B291" s="39" t="s">
        <v>759</v>
      </c>
      <c r="C291" s="40"/>
      <c r="D291" s="41"/>
      <c r="E291" s="41"/>
      <c r="F291" s="23" t="s">
        <v>1258</v>
      </c>
      <c r="G291" s="42">
        <f t="shared" ref="G291:G294" si="34">IF(F291="Atende",1,0)</f>
        <v>1</v>
      </c>
      <c r="H291" s="561" t="s">
        <v>760</v>
      </c>
      <c r="I291" s="336" t="s">
        <v>1804</v>
      </c>
      <c r="J291" s="30" t="s">
        <v>1956</v>
      </c>
      <c r="K291" s="30"/>
      <c r="L291" s="30"/>
      <c r="M291" s="30"/>
      <c r="N291" s="376" t="s">
        <v>1722</v>
      </c>
    </row>
    <row r="292" spans="1:14" ht="114.75" customHeight="1">
      <c r="A292" s="47" t="s">
        <v>761</v>
      </c>
      <c r="B292" s="154" t="s">
        <v>762</v>
      </c>
      <c r="C292" s="40"/>
      <c r="D292" s="41"/>
      <c r="E292" s="41"/>
      <c r="F292" s="23" t="s">
        <v>1258</v>
      </c>
      <c r="G292" s="42">
        <f t="shared" si="34"/>
        <v>1</v>
      </c>
      <c r="H292" s="557"/>
      <c r="I292" s="375" t="s">
        <v>1892</v>
      </c>
      <c r="J292" s="30" t="s">
        <v>1956</v>
      </c>
      <c r="K292" s="30"/>
      <c r="L292" s="30"/>
      <c r="M292" s="30"/>
      <c r="N292" s="337" t="s">
        <v>1604</v>
      </c>
    </row>
    <row r="293" spans="1:14" ht="47.25" customHeight="1">
      <c r="A293" s="47" t="s">
        <v>763</v>
      </c>
      <c r="B293" s="39" t="s">
        <v>764</v>
      </c>
      <c r="C293" s="40"/>
      <c r="D293" s="41"/>
      <c r="E293" s="41"/>
      <c r="F293" s="23"/>
      <c r="G293" s="42">
        <f t="shared" si="34"/>
        <v>0</v>
      </c>
      <c r="H293" s="557"/>
      <c r="I293" s="335"/>
      <c r="J293" s="30"/>
      <c r="K293" s="30"/>
      <c r="L293" s="30"/>
      <c r="M293" s="30"/>
      <c r="N293" s="2"/>
    </row>
    <row r="294" spans="1:14" ht="39.75" customHeight="1">
      <c r="A294" s="47" t="s">
        <v>765</v>
      </c>
      <c r="B294" s="39" t="s">
        <v>766</v>
      </c>
      <c r="C294" s="40"/>
      <c r="D294" s="41"/>
      <c r="E294" s="41"/>
      <c r="F294" s="23" t="s">
        <v>1258</v>
      </c>
      <c r="G294" s="42">
        <f t="shared" si="34"/>
        <v>1</v>
      </c>
      <c r="H294" s="557"/>
      <c r="I294" s="336" t="s">
        <v>1818</v>
      </c>
      <c r="J294" s="30" t="s">
        <v>1956</v>
      </c>
      <c r="K294" s="30"/>
      <c r="L294" s="30"/>
      <c r="M294" s="30"/>
      <c r="N294" s="376" t="s">
        <v>1722</v>
      </c>
    </row>
    <row r="295" spans="1:14" ht="24" customHeight="1">
      <c r="A295" s="48" t="s">
        <v>767</v>
      </c>
      <c r="B295" s="33" t="s">
        <v>768</v>
      </c>
      <c r="C295" s="34" t="e">
        <f>VLOOKUP($B$3,[12]QATC12!$B$2:$BQ$34,17,FALSE)</f>
        <v>#N/A</v>
      </c>
      <c r="D295" s="35"/>
      <c r="E295" s="35"/>
      <c r="F295" s="34"/>
      <c r="G295" s="97">
        <f>IF(COUNTIF(F296:F299,"Não se aplica")&gt;=2,"Não se aplica",IF(COUNTIF(F296:F299,"Sem classificação")&gt;=2,"Sem classificação",IF(COUNTIF(F296:F299,"Atende")=4,4,IF(COUNTIF(F296:F299,"Atende")=3,3,IF(COUNTIF(F296:F299,"Atende")=2,2,IF(COUNTIF(F296:F299,"Atende")=1,1,0))))))</f>
        <v>2</v>
      </c>
      <c r="H295" s="34"/>
      <c r="I295" s="161"/>
      <c r="J295" s="37"/>
      <c r="K295" s="37"/>
      <c r="L295" s="37"/>
      <c r="M295" s="37"/>
      <c r="N295" s="2"/>
    </row>
    <row r="296" spans="1:14" ht="34.5" customHeight="1">
      <c r="A296" s="47" t="s">
        <v>769</v>
      </c>
      <c r="B296" s="39" t="s">
        <v>770</v>
      </c>
      <c r="C296" s="40"/>
      <c r="D296" s="41"/>
      <c r="E296" s="41"/>
      <c r="F296" s="23"/>
      <c r="G296" s="42">
        <f t="shared" ref="G296:G299" si="35">IF(F296="Atende",1,0)</f>
        <v>0</v>
      </c>
      <c r="H296" s="569" t="s">
        <v>760</v>
      </c>
      <c r="I296" s="338"/>
      <c r="J296" s="30"/>
      <c r="K296" s="30"/>
      <c r="L296" s="30"/>
      <c r="M296" s="30"/>
      <c r="N296" s="2"/>
    </row>
    <row r="297" spans="1:14" ht="42" customHeight="1">
      <c r="A297" s="47" t="s">
        <v>771</v>
      </c>
      <c r="B297" s="154" t="s">
        <v>772</v>
      </c>
      <c r="C297" s="40"/>
      <c r="D297" s="41"/>
      <c r="E297" s="41"/>
      <c r="F297" s="23" t="s">
        <v>1258</v>
      </c>
      <c r="G297" s="42">
        <f t="shared" si="35"/>
        <v>1</v>
      </c>
      <c r="H297" s="557"/>
      <c r="I297" s="366" t="s">
        <v>1897</v>
      </c>
      <c r="J297" s="30" t="s">
        <v>1956</v>
      </c>
      <c r="K297" s="30"/>
      <c r="L297" s="30"/>
      <c r="M297" s="30"/>
      <c r="N297" s="353" t="s">
        <v>1889</v>
      </c>
    </row>
    <row r="298" spans="1:14" ht="57" customHeight="1">
      <c r="A298" s="47" t="s">
        <v>773</v>
      </c>
      <c r="B298" s="387" t="s">
        <v>774</v>
      </c>
      <c r="C298" s="40"/>
      <c r="D298" s="41"/>
      <c r="E298" s="41"/>
      <c r="F298" s="23" t="s">
        <v>1258</v>
      </c>
      <c r="G298" s="42">
        <f t="shared" si="35"/>
        <v>1</v>
      </c>
      <c r="H298" s="557"/>
      <c r="I298" s="338" t="s">
        <v>1893</v>
      </c>
      <c r="J298" s="30" t="s">
        <v>1956</v>
      </c>
      <c r="K298" s="30"/>
      <c r="L298" s="30"/>
      <c r="M298" s="30"/>
      <c r="N298" s="412" t="s">
        <v>1778</v>
      </c>
    </row>
    <row r="299" spans="1:14" ht="42" customHeight="1">
      <c r="A299" s="47" t="s">
        <v>775</v>
      </c>
      <c r="B299" s="387" t="s">
        <v>776</v>
      </c>
      <c r="C299" s="40"/>
      <c r="D299" s="41"/>
      <c r="E299" s="41"/>
      <c r="F299" s="23" t="s">
        <v>1865</v>
      </c>
      <c r="G299" s="42">
        <f t="shared" si="35"/>
        <v>0</v>
      </c>
      <c r="H299" s="557"/>
      <c r="I299" s="534" t="s">
        <v>1894</v>
      </c>
      <c r="J299" s="30"/>
      <c r="K299" s="30"/>
      <c r="L299" s="30"/>
      <c r="M299" s="30"/>
      <c r="N299" s="353" t="s">
        <v>1889</v>
      </c>
    </row>
    <row r="300" spans="1:14" ht="24" customHeight="1">
      <c r="A300" s="48" t="s">
        <v>777</v>
      </c>
      <c r="B300" s="33" t="s">
        <v>778</v>
      </c>
      <c r="C300" s="34" t="e">
        <f>VLOOKUP($B$3,[12]QATC12!$B$2:$BQ$34,38,FALSE)</f>
        <v>#N/A</v>
      </c>
      <c r="D300" s="35"/>
      <c r="E300" s="35"/>
      <c r="F300" s="34"/>
      <c r="G300" s="162">
        <f>IF(COUNTIF(F301:F308,"Não se aplica")&gt;=2,"Não se aplica",IF(COUNTIF(F301:F308,"Sem classificação")&gt;=2,"Sem classificação",IF(COUNTIF(F301:F308,"Atende")=8,4,IF(COUNTIF(F301:F308,"Atende")&gt;=6,3,IF(COUNTIF(F301:F308,"Atende")&gt;=4,2,IF(COUNTIF(F301:F308,"Atende")&gt;=2,1,0))))))</f>
        <v>3</v>
      </c>
      <c r="H300" s="37"/>
      <c r="I300" s="163"/>
      <c r="J300" s="37"/>
      <c r="K300" s="37"/>
      <c r="L300" s="37"/>
      <c r="M300" s="37"/>
      <c r="N300" s="2"/>
    </row>
    <row r="301" spans="1:14" ht="75" customHeight="1">
      <c r="A301" s="47" t="s">
        <v>779</v>
      </c>
      <c r="B301" s="154" t="s">
        <v>780</v>
      </c>
      <c r="C301" s="40"/>
      <c r="D301" s="41"/>
      <c r="E301" s="41"/>
      <c r="F301" s="421" t="s">
        <v>1258</v>
      </c>
      <c r="G301" s="42">
        <f t="shared" ref="G301:G308" si="36">IF(F301="Atende",1,0)</f>
        <v>1</v>
      </c>
      <c r="H301" s="559" t="s">
        <v>781</v>
      </c>
      <c r="I301" s="366" t="s">
        <v>1895</v>
      </c>
      <c r="J301" s="30" t="s">
        <v>1956</v>
      </c>
      <c r="K301" s="30"/>
      <c r="L301" s="30"/>
      <c r="M301" s="444"/>
      <c r="N301" s="376" t="s">
        <v>1890</v>
      </c>
    </row>
    <row r="302" spans="1:14" ht="39.75" customHeight="1">
      <c r="A302" s="47" t="s">
        <v>782</v>
      </c>
      <c r="B302" s="154" t="s">
        <v>783</v>
      </c>
      <c r="C302" s="40"/>
      <c r="D302" s="41"/>
      <c r="E302" s="41"/>
      <c r="F302" s="421" t="s">
        <v>1258</v>
      </c>
      <c r="G302" s="42">
        <f t="shared" si="36"/>
        <v>1</v>
      </c>
      <c r="H302" s="557"/>
      <c r="I302" s="339" t="s">
        <v>1884</v>
      </c>
      <c r="J302" s="30" t="s">
        <v>1956</v>
      </c>
      <c r="K302" s="30"/>
      <c r="L302" s="30"/>
      <c r="M302" s="30"/>
      <c r="N302" s="376" t="s">
        <v>1890</v>
      </c>
    </row>
    <row r="303" spans="1:14" ht="57" customHeight="1">
      <c r="A303" s="47" t="s">
        <v>784</v>
      </c>
      <c r="B303" s="39" t="s">
        <v>785</v>
      </c>
      <c r="C303" s="40"/>
      <c r="D303" s="41"/>
      <c r="E303" s="41"/>
      <c r="F303" s="23"/>
      <c r="G303" s="42">
        <f t="shared" si="36"/>
        <v>0</v>
      </c>
      <c r="H303" s="557"/>
      <c r="I303" s="339"/>
      <c r="J303" s="30"/>
      <c r="K303" s="30"/>
      <c r="L303" s="30"/>
      <c r="M303" s="30"/>
      <c r="N303" s="2"/>
    </row>
    <row r="304" spans="1:14" ht="57" customHeight="1">
      <c r="A304" s="47" t="s">
        <v>786</v>
      </c>
      <c r="B304" s="387" t="s">
        <v>787</v>
      </c>
      <c r="C304" s="40"/>
      <c r="D304" s="41"/>
      <c r="E304" s="41"/>
      <c r="F304" s="23" t="s">
        <v>1258</v>
      </c>
      <c r="G304" s="42">
        <f t="shared" si="36"/>
        <v>1</v>
      </c>
      <c r="H304" s="557"/>
      <c r="I304" s="452" t="s">
        <v>1883</v>
      </c>
      <c r="J304" s="30" t="s">
        <v>1956</v>
      </c>
      <c r="K304" s="30"/>
      <c r="L304" s="30"/>
      <c r="M304" s="30"/>
      <c r="N304" s="340" t="s">
        <v>1605</v>
      </c>
    </row>
    <row r="305" spans="1:15" ht="61.5" customHeight="1">
      <c r="A305" s="47" t="s">
        <v>788</v>
      </c>
      <c r="B305" s="387" t="s">
        <v>789</v>
      </c>
      <c r="C305" s="40"/>
      <c r="D305" s="41"/>
      <c r="E305" s="41"/>
      <c r="F305" s="421" t="s">
        <v>1258</v>
      </c>
      <c r="G305" s="42">
        <f t="shared" si="36"/>
        <v>1</v>
      </c>
      <c r="H305" s="557"/>
      <c r="I305" s="339" t="s">
        <v>1606</v>
      </c>
      <c r="J305" s="30" t="s">
        <v>1956</v>
      </c>
      <c r="K305" s="30"/>
      <c r="L305" s="30"/>
      <c r="M305" s="30"/>
      <c r="N305" s="2"/>
    </row>
    <row r="306" spans="1:15" ht="78.75" customHeight="1">
      <c r="A306" s="47" t="s">
        <v>790</v>
      </c>
      <c r="B306" s="154" t="s">
        <v>791</v>
      </c>
      <c r="C306" s="40"/>
      <c r="D306" s="41"/>
      <c r="E306" s="41"/>
      <c r="F306" s="421" t="s">
        <v>1258</v>
      </c>
      <c r="G306" s="42">
        <f t="shared" si="36"/>
        <v>1</v>
      </c>
      <c r="H306" s="557"/>
      <c r="I306" s="339" t="s">
        <v>1886</v>
      </c>
      <c r="J306" s="30" t="s">
        <v>1956</v>
      </c>
      <c r="K306" s="30"/>
      <c r="L306" s="30"/>
      <c r="M306" s="30"/>
      <c r="N306" s="2"/>
    </row>
    <row r="307" spans="1:15" ht="31.5" customHeight="1">
      <c r="A307" s="47" t="s">
        <v>792</v>
      </c>
      <c r="B307" s="39" t="s">
        <v>793</v>
      </c>
      <c r="C307" s="40"/>
      <c r="D307" s="41"/>
      <c r="E307" s="41"/>
      <c r="F307" s="23" t="s">
        <v>1258</v>
      </c>
      <c r="G307" s="42">
        <f t="shared" si="36"/>
        <v>1</v>
      </c>
      <c r="H307" s="557"/>
      <c r="I307" s="340" t="s">
        <v>1607</v>
      </c>
      <c r="J307" s="30" t="s">
        <v>1956</v>
      </c>
      <c r="K307" s="30"/>
      <c r="L307" s="30"/>
      <c r="M307" s="30"/>
      <c r="N307" s="2"/>
    </row>
    <row r="308" spans="1:15" ht="42" customHeight="1">
      <c r="A308" s="47" t="s">
        <v>794</v>
      </c>
      <c r="B308" s="39" t="s">
        <v>795</v>
      </c>
      <c r="C308" s="40"/>
      <c r="D308" s="41"/>
      <c r="E308" s="41"/>
      <c r="F308" s="23"/>
      <c r="G308" s="42">
        <f t="shared" si="36"/>
        <v>0</v>
      </c>
      <c r="H308" s="557"/>
      <c r="I308" s="39"/>
      <c r="J308" s="30"/>
      <c r="K308" s="30"/>
      <c r="L308" s="30"/>
      <c r="M308" s="30"/>
      <c r="N308" s="2"/>
    </row>
    <row r="309" spans="1:15" ht="24" customHeight="1">
      <c r="A309" s="48" t="s">
        <v>796</v>
      </c>
      <c r="B309" s="33" t="s">
        <v>797</v>
      </c>
      <c r="C309" s="34" t="e">
        <f>VLOOKUP($B$3,[12]QATC12!$B$2:$BQ$34,53,FALSE)</f>
        <v>#N/A</v>
      </c>
      <c r="D309" s="35"/>
      <c r="E309" s="35"/>
      <c r="F309" s="34"/>
      <c r="G309" s="97">
        <f>IF(COUNTIF(F310:F313,"Não se aplica")&gt;=2,"Não se aplica",IF(COUNTIF(F310:F313,"Sem classificação")&gt;=2,"Sem classificação",IF(COUNTIF(F310:F313,"Atende")=4,4,IF(COUNTIF(F310:F313,"Atende")=3,3,IF(COUNTIF(F310:F313,"Atende")=2,2,IF(COUNTIF(F310:F313,"Atende")=1,1,0))))))</f>
        <v>3</v>
      </c>
      <c r="H309" s="34"/>
      <c r="I309" s="37"/>
      <c r="J309" s="37"/>
      <c r="K309" s="37"/>
      <c r="L309" s="37"/>
      <c r="M309" s="37"/>
      <c r="N309" s="2"/>
    </row>
    <row r="310" spans="1:15" ht="38.25" customHeight="1">
      <c r="A310" s="47" t="s">
        <v>798</v>
      </c>
      <c r="B310" s="384" t="s">
        <v>799</v>
      </c>
      <c r="C310" s="40"/>
      <c r="D310" s="41"/>
      <c r="E310" s="41"/>
      <c r="F310" s="23" t="s">
        <v>1258</v>
      </c>
      <c r="G310" s="42">
        <f t="shared" ref="G310:G313" si="37">IF(F310="Atende",1,0)</f>
        <v>1</v>
      </c>
      <c r="H310" s="561" t="s">
        <v>800</v>
      </c>
      <c r="I310" s="375" t="s">
        <v>1852</v>
      </c>
      <c r="J310" s="30" t="s">
        <v>1956</v>
      </c>
      <c r="K310" s="30"/>
      <c r="L310" s="30"/>
      <c r="M310" s="30"/>
      <c r="N310" s="353" t="s">
        <v>1764</v>
      </c>
      <c r="O310" s="420"/>
    </row>
    <row r="311" spans="1:15" ht="32.25" customHeight="1">
      <c r="A311" s="47" t="s">
        <v>801</v>
      </c>
      <c r="B311" s="39" t="s">
        <v>802</v>
      </c>
      <c r="C311" s="40"/>
      <c r="D311" s="41"/>
      <c r="E311" s="41"/>
      <c r="F311" s="23" t="s">
        <v>1258</v>
      </c>
      <c r="G311" s="42">
        <f t="shared" si="37"/>
        <v>1</v>
      </c>
      <c r="H311" s="567"/>
      <c r="I311" s="423" t="s">
        <v>1876</v>
      </c>
      <c r="J311" s="149" t="s">
        <v>1956</v>
      </c>
      <c r="K311" s="30"/>
      <c r="L311" s="30"/>
      <c r="M311" s="30"/>
      <c r="N311" s="341" t="s">
        <v>1607</v>
      </c>
    </row>
    <row r="312" spans="1:15" ht="49.5" customHeight="1">
      <c r="A312" s="47" t="s">
        <v>803</v>
      </c>
      <c r="B312" s="387" t="s">
        <v>804</v>
      </c>
      <c r="C312" s="40"/>
      <c r="D312" s="41"/>
      <c r="E312" s="41"/>
      <c r="F312" s="421" t="s">
        <v>1258</v>
      </c>
      <c r="G312" s="42">
        <f t="shared" si="37"/>
        <v>1</v>
      </c>
      <c r="H312" s="557"/>
      <c r="I312" s="426" t="s">
        <v>1855</v>
      </c>
      <c r="J312" s="30" t="s">
        <v>1956</v>
      </c>
      <c r="K312" s="30"/>
      <c r="L312" s="30"/>
      <c r="M312" s="30"/>
      <c r="N312" s="365" t="s">
        <v>1607</v>
      </c>
    </row>
    <row r="313" spans="1:15" ht="21.75" customHeight="1">
      <c r="A313" s="47" t="s">
        <v>805</v>
      </c>
      <c r="B313" s="39" t="s">
        <v>806</v>
      </c>
      <c r="C313" s="40"/>
      <c r="D313" s="41"/>
      <c r="E313" s="41"/>
      <c r="F313" s="23"/>
      <c r="G313" s="42">
        <f t="shared" si="37"/>
        <v>0</v>
      </c>
      <c r="H313" s="557"/>
      <c r="I313" s="39"/>
      <c r="J313" s="30"/>
      <c r="K313" s="30"/>
      <c r="L313" s="30"/>
      <c r="M313" s="30"/>
      <c r="N313" s="2"/>
    </row>
    <row r="314" spans="1:15" ht="25.5" customHeight="1">
      <c r="A314" s="91" t="s">
        <v>807</v>
      </c>
      <c r="B314" s="52" t="s">
        <v>808</v>
      </c>
      <c r="C314" s="15" t="s">
        <v>809</v>
      </c>
      <c r="D314" s="53"/>
      <c r="E314" s="17">
        <f>SUM(G316,G321)</f>
        <v>6</v>
      </c>
      <c r="F314" s="158"/>
      <c r="G314" s="19" t="str">
        <f>IF(H314&gt;=2,"Não se aplica",IF(I314&gt;=2,"Sem classificação",IF(F314=4,IF(E314&lt;=2,0,IF(E314&lt;=6,1,IF(E314&lt;=10,2,IF(E314&lt;=14,3,4)))),IF(F314=3,ROUND(AVERAGE(G316,G321),0),IF(F314=2,ROUNDDOWN(AVERAGE(G316,G321),0),"Não se aplica")))))</f>
        <v>Não se aplica</v>
      </c>
      <c r="H314" s="20">
        <f>COUNTIF(G316:G321,"Não se aplica")</f>
        <v>0</v>
      </c>
      <c r="I314" s="21"/>
      <c r="J314" s="22"/>
      <c r="K314" s="22"/>
      <c r="L314" s="22"/>
      <c r="M314" s="22"/>
      <c r="N314" s="2"/>
    </row>
    <row r="315" spans="1:15" ht="22.5" customHeight="1">
      <c r="A315" s="54" t="s">
        <v>18</v>
      </c>
      <c r="B315" s="157" t="s">
        <v>19</v>
      </c>
      <c r="C315" s="23"/>
      <c r="D315" s="164"/>
      <c r="E315" s="164"/>
      <c r="F315" s="56"/>
      <c r="G315" s="56"/>
      <c r="H315" s="165"/>
      <c r="I315" s="30"/>
      <c r="J315" s="30"/>
      <c r="K315" s="30"/>
      <c r="L315" s="30"/>
      <c r="M315" s="30"/>
      <c r="N315" s="2"/>
    </row>
    <row r="316" spans="1:15" ht="32.25" customHeight="1">
      <c r="A316" s="48" t="s">
        <v>810</v>
      </c>
      <c r="B316" s="33" t="s">
        <v>811</v>
      </c>
      <c r="C316" s="34" t="e">
        <f>VLOOKUP($B$3,[13]QATC13!$B$2:$Z$34,2,FALSE)</f>
        <v>#N/A</v>
      </c>
      <c r="D316" s="35"/>
      <c r="E316" s="35"/>
      <c r="F316" s="34"/>
      <c r="G316" s="97">
        <f>IF(COUNTIF(F317:F320,"Não se aplica")&gt;=2,"Não se aplica",IF(COUNTIF(F317:F320,"Sem classificação")&gt;=2,"Sem classificação",IF(COUNTIF(F317:F320,"Atende")=4,4,IF(COUNTIF(F317:F320,"Atende")=3,3,IF(COUNTIF(F317:F320,"Atende")=2,2,IF(COUNTIF(F317:F320,"Atende")=1,1,0))))))</f>
        <v>4</v>
      </c>
      <c r="H316" s="34"/>
      <c r="I316" s="37"/>
      <c r="J316" s="37"/>
      <c r="K316" s="37"/>
      <c r="L316" s="37"/>
      <c r="M316" s="37"/>
      <c r="N316" s="2"/>
    </row>
    <row r="317" spans="1:15" ht="35.25" customHeight="1">
      <c r="A317" s="47" t="s">
        <v>812</v>
      </c>
      <c r="B317" s="39" t="s">
        <v>813</v>
      </c>
      <c r="C317" s="40"/>
      <c r="D317" s="41"/>
      <c r="E317" s="41"/>
      <c r="F317" s="23" t="s">
        <v>1258</v>
      </c>
      <c r="G317" s="42">
        <f t="shared" ref="G317:G320" si="38">IF(F317="Atende",1,0)</f>
        <v>1</v>
      </c>
      <c r="H317" s="561" t="s">
        <v>289</v>
      </c>
      <c r="I317" s="348" t="s">
        <v>1723</v>
      </c>
      <c r="J317" s="30" t="s">
        <v>1956</v>
      </c>
      <c r="K317" s="30"/>
      <c r="L317" s="30"/>
      <c r="M317" s="30"/>
      <c r="N317" s="376" t="s">
        <v>1725</v>
      </c>
    </row>
    <row r="318" spans="1:15" ht="24.75" customHeight="1">
      <c r="A318" s="47" t="s">
        <v>814</v>
      </c>
      <c r="B318" s="39" t="s">
        <v>815</v>
      </c>
      <c r="C318" s="40"/>
      <c r="D318" s="41"/>
      <c r="E318" s="41"/>
      <c r="F318" s="23" t="s">
        <v>1258</v>
      </c>
      <c r="G318" s="42">
        <f t="shared" si="38"/>
        <v>1</v>
      </c>
      <c r="H318" s="557"/>
      <c r="I318" s="348" t="s">
        <v>1723</v>
      </c>
      <c r="J318" s="30" t="s">
        <v>1956</v>
      </c>
      <c r="K318" s="30"/>
      <c r="L318" s="30"/>
      <c r="M318" s="30"/>
      <c r="N318" s="376" t="s">
        <v>1725</v>
      </c>
    </row>
    <row r="319" spans="1:15" ht="24.75" customHeight="1">
      <c r="A319" s="47" t="s">
        <v>816</v>
      </c>
      <c r="B319" s="39" t="s">
        <v>817</v>
      </c>
      <c r="C319" s="40"/>
      <c r="D319" s="41"/>
      <c r="E319" s="41"/>
      <c r="F319" s="23" t="s">
        <v>1258</v>
      </c>
      <c r="G319" s="42">
        <f t="shared" si="38"/>
        <v>1</v>
      </c>
      <c r="H319" s="557"/>
      <c r="I319" s="384" t="s">
        <v>1724</v>
      </c>
      <c r="J319" s="30" t="s">
        <v>1956</v>
      </c>
      <c r="K319" s="30"/>
      <c r="L319" s="30"/>
      <c r="M319" s="30"/>
      <c r="N319" s="2"/>
    </row>
    <row r="320" spans="1:15" ht="24.75" customHeight="1">
      <c r="A320" s="47" t="s">
        <v>818</v>
      </c>
      <c r="B320" s="39" t="s">
        <v>819</v>
      </c>
      <c r="C320" s="40"/>
      <c r="D320" s="41"/>
      <c r="E320" s="41"/>
      <c r="F320" s="23" t="s">
        <v>1258</v>
      </c>
      <c r="G320" s="42">
        <f t="shared" si="38"/>
        <v>1</v>
      </c>
      <c r="H320" s="557"/>
      <c r="I320" s="172" t="s">
        <v>1805</v>
      </c>
      <c r="J320" s="30" t="s">
        <v>1956</v>
      </c>
      <c r="K320" s="30"/>
      <c r="L320" s="30"/>
      <c r="M320" s="30"/>
      <c r="N320" s="2"/>
    </row>
    <row r="321" spans="1:14" ht="33.75" customHeight="1">
      <c r="A321" s="48" t="s">
        <v>820</v>
      </c>
      <c r="B321" s="33" t="s">
        <v>821</v>
      </c>
      <c r="C321" s="34" t="e">
        <f>VLOOKUP($B$3,[13]QATC13!$B$2:$Z$34,11,FALSE)</f>
        <v>#N/A</v>
      </c>
      <c r="D321" s="35"/>
      <c r="E321" s="35"/>
      <c r="F321" s="34"/>
      <c r="G321" s="37">
        <f>IF(COUNTIF(F322:F328,"Não se aplica")&gt;=2,"Não se aplica",IF(COUNTIF(F322:F328,"Sem classificação")&gt;=2,"Sem classificação",IF(COUNTIF(F322:F328,"Atende")=7,4,IF(AND(COUNTIF(F322:F328,"Atende")&gt;=5,F322="Atende",F325="Atende",F326="Atende")=TRUE,3,IF(COUNTIF(F322:F328,"Atende")&gt;=3,2,IF(COUNTIF(F322:F328,"Atende")&gt;=2,1,0))))))</f>
        <v>2</v>
      </c>
      <c r="H321" s="34"/>
      <c r="I321" s="37"/>
      <c r="J321" s="37"/>
      <c r="K321" s="37"/>
      <c r="L321" s="37"/>
      <c r="M321" s="37"/>
      <c r="N321" s="2"/>
    </row>
    <row r="322" spans="1:14" ht="24.75" customHeight="1">
      <c r="A322" s="47" t="s">
        <v>822</v>
      </c>
      <c r="B322" s="39" t="s">
        <v>823</v>
      </c>
      <c r="C322" s="40"/>
      <c r="D322" s="41"/>
      <c r="E322" s="41"/>
      <c r="F322" s="23"/>
      <c r="G322" s="42">
        <f t="shared" ref="G322:G328" si="39">IF(F322="Atende",1,0)</f>
        <v>0</v>
      </c>
      <c r="H322" s="561" t="s">
        <v>824</v>
      </c>
      <c r="I322" s="343" t="s">
        <v>1608</v>
      </c>
      <c r="J322" s="30"/>
      <c r="K322" s="30"/>
      <c r="L322" s="30"/>
      <c r="M322" s="30"/>
      <c r="N322" s="2"/>
    </row>
    <row r="323" spans="1:14" ht="24.75" customHeight="1">
      <c r="A323" s="47" t="s">
        <v>825</v>
      </c>
      <c r="B323" s="39" t="s">
        <v>826</v>
      </c>
      <c r="C323" s="40"/>
      <c r="D323" s="41"/>
      <c r="E323" s="41"/>
      <c r="F323" s="23"/>
      <c r="G323" s="42">
        <f t="shared" si="39"/>
        <v>0</v>
      </c>
      <c r="H323" s="557"/>
      <c r="I323" s="343" t="s">
        <v>1608</v>
      </c>
      <c r="J323" s="30"/>
      <c r="K323" s="30"/>
      <c r="L323" s="30"/>
      <c r="M323" s="30"/>
      <c r="N323" s="2"/>
    </row>
    <row r="324" spans="1:14" ht="24.75" customHeight="1">
      <c r="A324" s="47" t="s">
        <v>827</v>
      </c>
      <c r="B324" s="39" t="s">
        <v>828</v>
      </c>
      <c r="C324" s="40"/>
      <c r="D324" s="41"/>
      <c r="E324" s="41"/>
      <c r="F324" s="23"/>
      <c r="G324" s="42">
        <f t="shared" si="39"/>
        <v>0</v>
      </c>
      <c r="H324" s="557"/>
      <c r="I324" s="343" t="s">
        <v>1608</v>
      </c>
      <c r="J324" s="30"/>
      <c r="K324" s="30"/>
      <c r="L324" s="30"/>
      <c r="M324" s="30"/>
      <c r="N324" s="2"/>
    </row>
    <row r="325" spans="1:14" ht="42.75" customHeight="1">
      <c r="A325" s="47" t="s">
        <v>829</v>
      </c>
      <c r="B325" s="39" t="s">
        <v>830</v>
      </c>
      <c r="C325" s="40"/>
      <c r="D325" s="41"/>
      <c r="E325" s="41"/>
      <c r="F325" s="23" t="s">
        <v>1258</v>
      </c>
      <c r="G325" s="42">
        <f t="shared" si="39"/>
        <v>1</v>
      </c>
      <c r="H325" s="557"/>
      <c r="I325" s="342" t="s">
        <v>1726</v>
      </c>
      <c r="J325" s="30" t="s">
        <v>1956</v>
      </c>
      <c r="K325" s="30"/>
      <c r="L325" s="30"/>
      <c r="M325" s="30"/>
      <c r="N325" s="376" t="s">
        <v>1727</v>
      </c>
    </row>
    <row r="326" spans="1:14" ht="34.5" customHeight="1">
      <c r="A326" s="47" t="s">
        <v>831</v>
      </c>
      <c r="B326" s="39" t="s">
        <v>832</v>
      </c>
      <c r="C326" s="40"/>
      <c r="D326" s="41"/>
      <c r="E326" s="41"/>
      <c r="F326" s="23" t="s">
        <v>1258</v>
      </c>
      <c r="G326" s="42">
        <f t="shared" si="39"/>
        <v>1</v>
      </c>
      <c r="H326" s="557"/>
      <c r="I326" s="342" t="s">
        <v>1726</v>
      </c>
      <c r="J326" s="30" t="s">
        <v>1956</v>
      </c>
      <c r="K326" s="30"/>
      <c r="L326" s="30"/>
      <c r="M326" s="30"/>
      <c r="N326" s="398" t="s">
        <v>1727</v>
      </c>
    </row>
    <row r="327" spans="1:14" ht="36.75" customHeight="1">
      <c r="A327" s="47" t="s">
        <v>833</v>
      </c>
      <c r="B327" s="39" t="s">
        <v>834</v>
      </c>
      <c r="C327" s="40"/>
      <c r="D327" s="41"/>
      <c r="E327" s="41"/>
      <c r="F327" s="23"/>
      <c r="G327" s="42">
        <f t="shared" si="39"/>
        <v>0</v>
      </c>
      <c r="H327" s="557"/>
      <c r="I327" s="343" t="s">
        <v>1608</v>
      </c>
      <c r="J327" s="30"/>
      <c r="K327" s="30"/>
      <c r="L327" s="30"/>
      <c r="M327" s="30"/>
      <c r="N327" s="2"/>
    </row>
    <row r="328" spans="1:14" ht="24.75" customHeight="1">
      <c r="A328" s="47" t="s">
        <v>835</v>
      </c>
      <c r="B328" s="39" t="s">
        <v>836</v>
      </c>
      <c r="C328" s="40"/>
      <c r="D328" s="53"/>
      <c r="E328" s="53"/>
      <c r="F328" s="23" t="s">
        <v>1258</v>
      </c>
      <c r="G328" s="42">
        <f t="shared" si="39"/>
        <v>1</v>
      </c>
      <c r="H328" s="557"/>
      <c r="I328" s="342" t="s">
        <v>1806</v>
      </c>
      <c r="J328" s="30" t="s">
        <v>1956</v>
      </c>
      <c r="K328" s="30"/>
      <c r="L328" s="30"/>
      <c r="M328" s="30"/>
      <c r="N328" s="376" t="s">
        <v>1727</v>
      </c>
    </row>
    <row r="329" spans="1:14" ht="29.25" customHeight="1">
      <c r="A329" s="91" t="s">
        <v>210</v>
      </c>
      <c r="B329" s="52" t="s">
        <v>837</v>
      </c>
      <c r="C329" s="13" t="s">
        <v>680</v>
      </c>
      <c r="D329" s="53"/>
      <c r="E329" s="16"/>
      <c r="F329" s="13"/>
      <c r="G329" s="166">
        <f>AVERAGE(G331)</f>
        <v>1</v>
      </c>
      <c r="H329" s="20">
        <f>COUNTIF(B331,"Não se aplica")</f>
        <v>0</v>
      </c>
      <c r="I329" s="21"/>
      <c r="J329" s="22"/>
      <c r="K329" s="22"/>
      <c r="L329" s="22"/>
      <c r="M329" s="22"/>
      <c r="N329" s="2"/>
    </row>
    <row r="330" spans="1:14" ht="18.75" customHeight="1">
      <c r="A330" s="47" t="s">
        <v>18</v>
      </c>
      <c r="B330" s="157" t="s">
        <v>19</v>
      </c>
      <c r="C330" s="23"/>
      <c r="D330" s="164"/>
      <c r="E330" s="164"/>
      <c r="F330" s="56"/>
      <c r="G330" s="28"/>
      <c r="H330" s="29"/>
      <c r="I330" s="30"/>
      <c r="J330" s="30"/>
      <c r="K330" s="30"/>
      <c r="L330" s="30"/>
      <c r="M330" s="30"/>
      <c r="N330" s="2"/>
    </row>
    <row r="331" spans="1:14" ht="25.5" customHeight="1">
      <c r="A331" s="48" t="s">
        <v>838</v>
      </c>
      <c r="B331" s="33" t="s">
        <v>839</v>
      </c>
      <c r="C331" s="34" t="e">
        <f>VLOOKUP($B$3,[14]QATC14!$B$2:$K$34,2,FALSE)</f>
        <v>#N/A</v>
      </c>
      <c r="D331" s="35"/>
      <c r="E331" s="35"/>
      <c r="F331" s="37"/>
      <c r="G331" s="97">
        <f>IF(COUNTIF(F332:F335,"Não se aplica")&gt;=2,"Não se aplica",IF(COUNTIF(F332:F335,"Sem classificação")&gt;=2,"Sem classificação",IF(COUNTIF(F332:F335,"Atende")=4,4,IF(COUNTIF(F332:F335,"Atende")=3,3,IF(COUNTIF(F332:F335,"Atende")=2,2,IF(COUNTIF(F332:F335,"Atende")=1,1,0))))))</f>
        <v>1</v>
      </c>
      <c r="H331" s="34"/>
      <c r="I331" s="37"/>
      <c r="J331" s="37"/>
      <c r="K331" s="37"/>
      <c r="L331" s="37"/>
      <c r="M331" s="37"/>
      <c r="N331" s="2"/>
    </row>
    <row r="332" spans="1:14" ht="48.75" customHeight="1">
      <c r="A332" s="47" t="s">
        <v>840</v>
      </c>
      <c r="B332" s="39" t="s">
        <v>841</v>
      </c>
      <c r="C332" s="40"/>
      <c r="D332" s="41"/>
      <c r="E332" s="41"/>
      <c r="F332" s="23" t="s">
        <v>1258</v>
      </c>
      <c r="G332" s="42">
        <f t="shared" ref="G332:G335" si="40">IF(F332="Atende",1,0)</f>
        <v>1</v>
      </c>
      <c r="H332" s="569" t="s">
        <v>842</v>
      </c>
      <c r="I332" s="422" t="s">
        <v>1842</v>
      </c>
      <c r="J332" s="30" t="s">
        <v>1956</v>
      </c>
      <c r="K332" s="30"/>
      <c r="L332" s="30"/>
      <c r="M332" s="30"/>
      <c r="N332" s="344" t="s">
        <v>1607</v>
      </c>
    </row>
    <row r="333" spans="1:14" ht="22.5" customHeight="1">
      <c r="A333" s="47" t="s">
        <v>843</v>
      </c>
      <c r="B333" s="387" t="s">
        <v>844</v>
      </c>
      <c r="C333" s="40"/>
      <c r="D333" s="41"/>
      <c r="E333" s="41"/>
      <c r="F333" s="23"/>
      <c r="G333" s="42">
        <f t="shared" si="40"/>
        <v>0</v>
      </c>
      <c r="H333" s="557"/>
      <c r="I333" s="384"/>
      <c r="J333" s="30"/>
      <c r="K333" s="30"/>
      <c r="L333" s="30"/>
      <c r="M333" s="30"/>
      <c r="N333" s="2"/>
    </row>
    <row r="334" spans="1:14" ht="23.25" customHeight="1">
      <c r="A334" s="47" t="s">
        <v>845</v>
      </c>
      <c r="B334" s="387" t="s">
        <v>846</v>
      </c>
      <c r="C334" s="40"/>
      <c r="D334" s="41"/>
      <c r="E334" s="41"/>
      <c r="F334" s="23"/>
      <c r="G334" s="42">
        <f t="shared" si="40"/>
        <v>0</v>
      </c>
      <c r="H334" s="557"/>
      <c r="I334" s="384"/>
      <c r="J334" s="30"/>
      <c r="K334" s="30"/>
      <c r="L334" s="30"/>
      <c r="M334" s="30"/>
      <c r="N334" s="2"/>
    </row>
    <row r="335" spans="1:14" ht="22.5" customHeight="1">
      <c r="A335" s="47" t="s">
        <v>847</v>
      </c>
      <c r="B335" s="387" t="s">
        <v>848</v>
      </c>
      <c r="C335" s="40"/>
      <c r="D335" s="53"/>
      <c r="E335" s="53"/>
      <c r="F335" s="23"/>
      <c r="G335" s="42">
        <f t="shared" si="40"/>
        <v>0</v>
      </c>
      <c r="H335" s="557"/>
      <c r="I335" s="384"/>
      <c r="J335" s="30"/>
      <c r="K335" s="30"/>
      <c r="L335" s="30"/>
      <c r="M335" s="30"/>
      <c r="N335" s="2"/>
    </row>
    <row r="336" spans="1:14" ht="22.5" customHeight="1">
      <c r="A336" s="91" t="s">
        <v>849</v>
      </c>
      <c r="B336" s="52" t="s">
        <v>850</v>
      </c>
      <c r="C336" s="93" t="s">
        <v>680</v>
      </c>
      <c r="D336" s="53"/>
      <c r="E336" s="17">
        <f>SUM(G338,G343)</f>
        <v>2</v>
      </c>
      <c r="F336" s="158"/>
      <c r="G336" s="19" t="str">
        <f>IF(H336&gt;=2,"Não se aplica",IF(I336&gt;=2,"Sem classificação",IF(F336=4,IF(E336&lt;=2,0,IF(E336&lt;=6,1,IF(E336&lt;=10,2,IF(E336&lt;=14,3,4)))),IF(F336=3,ROUND(AVERAGE(G338,G343),0),IF(F336=2,ROUNDDOWN(AVERAGE(G338,G343),0),"Não se aplica")))))</f>
        <v>Não se aplica</v>
      </c>
      <c r="H336" s="20">
        <f>COUNTIF(G338:G343,"Não se aplica")</f>
        <v>0</v>
      </c>
      <c r="I336" s="21"/>
      <c r="J336" s="22"/>
      <c r="K336" s="22"/>
      <c r="L336" s="22"/>
      <c r="M336" s="22"/>
      <c r="N336" s="2"/>
    </row>
    <row r="337" spans="1:15" ht="19.5" customHeight="1">
      <c r="A337" s="47" t="s">
        <v>18</v>
      </c>
      <c r="B337" s="157" t="s">
        <v>19</v>
      </c>
      <c r="C337" s="23"/>
      <c r="D337" s="164"/>
      <c r="E337" s="164"/>
      <c r="F337" s="56"/>
      <c r="G337" s="28"/>
      <c r="H337" s="29"/>
      <c r="I337" s="30"/>
      <c r="J337" s="30"/>
      <c r="K337" s="30"/>
      <c r="L337" s="30"/>
      <c r="M337" s="30"/>
      <c r="N337" s="2"/>
    </row>
    <row r="338" spans="1:15" ht="19.5" customHeight="1">
      <c r="A338" s="167" t="s">
        <v>851</v>
      </c>
      <c r="B338" s="33" t="s">
        <v>852</v>
      </c>
      <c r="C338" s="34" t="e">
        <f>VLOOKUP($B$3,[15]QATC15!$B$2:$X$34,2,FALSE)</f>
        <v>#N/A</v>
      </c>
      <c r="D338" s="155"/>
      <c r="E338" s="155"/>
      <c r="F338" s="37"/>
      <c r="G338" s="97">
        <f>IF(COUNTIF(F339:F342,"Não se aplica")&gt;=2,"Não se aplica",IF(COUNTIF(F339:F342,"Sem classificação")&gt;=2,"Sem classificação",IF(COUNTIF(F339:F342,"Atende")=4,4,IF(COUNTIF(F339:F342,"Atende")=3,3,IF(COUNTIF(F339:F342,"Atende")=2,2,IF(COUNTIF(F339:F342,"Atende")=1,1,0))))))</f>
        <v>1</v>
      </c>
      <c r="H338" s="147"/>
      <c r="I338" s="37"/>
      <c r="J338" s="37"/>
      <c r="K338" s="37"/>
      <c r="L338" s="37"/>
      <c r="M338" s="37"/>
      <c r="N338" s="2"/>
    </row>
    <row r="339" spans="1:15" ht="23.25" customHeight="1">
      <c r="A339" s="47" t="s">
        <v>853</v>
      </c>
      <c r="B339" s="154" t="s">
        <v>854</v>
      </c>
      <c r="C339" s="40"/>
      <c r="D339" s="41"/>
      <c r="E339" s="41"/>
      <c r="F339" s="23" t="s">
        <v>1865</v>
      </c>
      <c r="G339" s="42">
        <f t="shared" ref="G339:G342" si="41">IF(F339="Atende",1,0)</f>
        <v>0</v>
      </c>
      <c r="H339" s="569" t="s">
        <v>746</v>
      </c>
      <c r="I339" s="39" t="s">
        <v>1881</v>
      </c>
      <c r="J339" s="168" t="s">
        <v>1956</v>
      </c>
      <c r="K339" s="168"/>
      <c r="L339" s="168"/>
      <c r="M339" s="168"/>
      <c r="N339" s="353" t="s">
        <v>1888</v>
      </c>
    </row>
    <row r="340" spans="1:15" ht="31.5" customHeight="1">
      <c r="A340" s="47" t="s">
        <v>855</v>
      </c>
      <c r="B340" s="154" t="s">
        <v>856</v>
      </c>
      <c r="C340" s="40"/>
      <c r="D340" s="41"/>
      <c r="E340" s="41"/>
      <c r="F340" s="23"/>
      <c r="G340" s="42">
        <f t="shared" si="41"/>
        <v>0</v>
      </c>
      <c r="H340" s="557"/>
      <c r="I340" s="39"/>
      <c r="J340" s="30"/>
      <c r="K340" s="30"/>
      <c r="L340" s="30"/>
      <c r="M340" s="30"/>
      <c r="N340" s="2"/>
    </row>
    <row r="341" spans="1:15" ht="77.25" customHeight="1">
      <c r="A341" s="47" t="s">
        <v>857</v>
      </c>
      <c r="B341" s="154" t="s">
        <v>858</v>
      </c>
      <c r="C341" s="40"/>
      <c r="D341" s="41"/>
      <c r="E341" s="41"/>
      <c r="F341" s="23" t="s">
        <v>1258</v>
      </c>
      <c r="G341" s="42">
        <f t="shared" si="41"/>
        <v>1</v>
      </c>
      <c r="H341" s="557"/>
      <c r="I341" s="358" t="s">
        <v>1881</v>
      </c>
      <c r="J341" s="30" t="s">
        <v>1956</v>
      </c>
      <c r="K341" s="30"/>
      <c r="L341" s="30"/>
      <c r="M341" s="30"/>
      <c r="N341" s="533" t="s">
        <v>1763</v>
      </c>
      <c r="O341" s="420" t="s">
        <v>1888</v>
      </c>
    </row>
    <row r="342" spans="1:15" ht="36" customHeight="1">
      <c r="A342" s="47" t="s">
        <v>859</v>
      </c>
      <c r="B342" s="154" t="s">
        <v>860</v>
      </c>
      <c r="C342" s="40"/>
      <c r="D342" s="41"/>
      <c r="E342" s="41"/>
      <c r="F342" s="23" t="s">
        <v>1865</v>
      </c>
      <c r="G342" s="42">
        <f t="shared" si="41"/>
        <v>0</v>
      </c>
      <c r="H342" s="570"/>
      <c r="I342" s="345" t="s">
        <v>1882</v>
      </c>
      <c r="J342" s="30"/>
      <c r="K342" s="30"/>
      <c r="L342" s="30"/>
      <c r="M342" s="30"/>
      <c r="N342" s="2"/>
    </row>
    <row r="343" spans="1:15" ht="19.5" customHeight="1">
      <c r="A343" s="48" t="s">
        <v>861</v>
      </c>
      <c r="B343" s="33" t="s">
        <v>862</v>
      </c>
      <c r="C343" s="34" t="e">
        <f>VLOOKUP($B$3,[15]QATC15!$B$2:$X$34,11,FALSE)</f>
        <v>#N/A</v>
      </c>
      <c r="D343" s="35"/>
      <c r="E343" s="35"/>
      <c r="F343" s="34"/>
      <c r="G343" s="162">
        <f>IF(COUNTIF(F344:F349,"Não se aplica")&gt;=2,"Não se aplica",IF(COUNTIF(F344:F349,"Sem classificação")&gt;=2,"Sem classificação",IF(COUNTIF(F344:F349,"Atende")&gt;=6,4,IF(COUNTIF(F344:F349,"Atende")&gt;=5,3,IF(COUNTIF(F344:F349,"Atende")&gt;=4,2,IF(COUNTIF(F344:F349,"Atende")&gt;=1,1,0))))))</f>
        <v>1</v>
      </c>
      <c r="H343" s="37"/>
      <c r="I343" s="127"/>
      <c r="J343" s="37"/>
      <c r="K343" s="37"/>
      <c r="L343" s="37"/>
      <c r="M343" s="37"/>
      <c r="N343" s="2"/>
    </row>
    <row r="344" spans="1:15" ht="66.75" customHeight="1">
      <c r="A344" s="47" t="s">
        <v>863</v>
      </c>
      <c r="B344" s="39" t="s">
        <v>864</v>
      </c>
      <c r="C344" s="40"/>
      <c r="D344" s="41"/>
      <c r="E344" s="41"/>
      <c r="F344" s="23" t="s">
        <v>1258</v>
      </c>
      <c r="G344" s="42">
        <f t="shared" ref="G344:G349" si="42">IF(F344="Atende",1,0)</f>
        <v>1</v>
      </c>
      <c r="H344" s="559" t="s">
        <v>865</v>
      </c>
      <c r="I344" s="346" t="s">
        <v>1609</v>
      </c>
      <c r="J344" s="30" t="s">
        <v>1956</v>
      </c>
      <c r="K344" s="30"/>
      <c r="L344" s="30"/>
      <c r="M344" s="30"/>
      <c r="N344" s="376" t="s">
        <v>1763</v>
      </c>
    </row>
    <row r="345" spans="1:15" ht="80.25" customHeight="1">
      <c r="A345" s="47" t="s">
        <v>866</v>
      </c>
      <c r="B345" s="39" t="s">
        <v>867</v>
      </c>
      <c r="C345" s="40"/>
      <c r="D345" s="41"/>
      <c r="E345" s="41"/>
      <c r="F345" s="23" t="s">
        <v>1258</v>
      </c>
      <c r="G345" s="42">
        <f t="shared" si="42"/>
        <v>1</v>
      </c>
      <c r="H345" s="557"/>
      <c r="I345" s="358" t="s">
        <v>1914</v>
      </c>
      <c r="J345" s="30" t="s">
        <v>1956</v>
      </c>
      <c r="K345" s="30"/>
      <c r="L345" s="30"/>
      <c r="M345" s="30"/>
      <c r="N345" s="376" t="s">
        <v>1763</v>
      </c>
    </row>
    <row r="346" spans="1:15" ht="44.25" customHeight="1">
      <c r="A346" s="47" t="s">
        <v>868</v>
      </c>
      <c r="B346" s="39" t="s">
        <v>869</v>
      </c>
      <c r="C346" s="40"/>
      <c r="D346" s="41"/>
      <c r="E346" s="41"/>
      <c r="F346" s="23"/>
      <c r="G346" s="42">
        <f t="shared" si="42"/>
        <v>0</v>
      </c>
      <c r="H346" s="557"/>
      <c r="I346" s="346"/>
      <c r="J346" s="30"/>
      <c r="K346" s="30"/>
      <c r="L346" s="30"/>
      <c r="M346" s="30"/>
      <c r="N346" s="2"/>
    </row>
    <row r="347" spans="1:15" ht="49.5" customHeight="1">
      <c r="A347" s="47" t="s">
        <v>870</v>
      </c>
      <c r="B347" s="387" t="s">
        <v>871</v>
      </c>
      <c r="C347" s="40"/>
      <c r="D347" s="41"/>
      <c r="E347" s="41"/>
      <c r="F347" s="421" t="s">
        <v>1258</v>
      </c>
      <c r="G347" s="42">
        <f t="shared" si="42"/>
        <v>1</v>
      </c>
      <c r="H347" s="557"/>
      <c r="I347" s="348" t="s">
        <v>1610</v>
      </c>
      <c r="J347" s="30" t="s">
        <v>1956</v>
      </c>
      <c r="K347" s="30"/>
      <c r="L347" s="30"/>
      <c r="M347" s="30"/>
      <c r="N347" s="2"/>
    </row>
    <row r="348" spans="1:15" ht="39.75" customHeight="1">
      <c r="A348" s="47" t="s">
        <v>872</v>
      </c>
      <c r="B348" s="39" t="s">
        <v>873</v>
      </c>
      <c r="C348" s="40"/>
      <c r="D348" s="41"/>
      <c r="E348" s="41"/>
      <c r="F348" s="23"/>
      <c r="G348" s="42">
        <f t="shared" si="42"/>
        <v>0</v>
      </c>
      <c r="H348" s="557"/>
      <c r="I348" s="348" t="s">
        <v>1915</v>
      </c>
      <c r="J348" s="30"/>
      <c r="K348" s="30"/>
      <c r="L348" s="30"/>
      <c r="M348" s="30"/>
      <c r="N348" s="376" t="s">
        <v>1781</v>
      </c>
    </row>
    <row r="349" spans="1:15" ht="36.75" customHeight="1">
      <c r="A349" s="47" t="s">
        <v>874</v>
      </c>
      <c r="B349" s="39" t="s">
        <v>875</v>
      </c>
      <c r="C349" s="40"/>
      <c r="D349" s="41"/>
      <c r="E349" s="41"/>
      <c r="F349" s="23"/>
      <c r="G349" s="42">
        <f t="shared" si="42"/>
        <v>0</v>
      </c>
      <c r="H349" s="557"/>
      <c r="I349" s="347"/>
      <c r="J349" s="30"/>
      <c r="K349" s="30"/>
      <c r="L349" s="30"/>
      <c r="M349" s="30"/>
      <c r="N349" s="2"/>
    </row>
    <row r="350" spans="1:15" ht="22.5" customHeight="1">
      <c r="A350" s="15" t="s">
        <v>876</v>
      </c>
      <c r="B350" s="52" t="s">
        <v>877</v>
      </c>
      <c r="C350" s="93" t="s">
        <v>680</v>
      </c>
      <c r="D350" s="53"/>
      <c r="E350" s="17">
        <f>SUM(G352,G358)</f>
        <v>0</v>
      </c>
      <c r="F350" s="158"/>
      <c r="G350" s="19" t="str">
        <f>IF(H350&gt;=2,"Não se aplica",IF(I350&gt;=2,"Sem classificação",IF(F350=4,IF(E350&lt;=2,0,IF(E350&lt;=6,1,IF(E350&lt;=10,2,IF(E350&lt;=14,3,4)))),IF(F350=3,ROUND(AVERAGE(G352,G358),0),IF(F350=2,ROUNDDOWN(AVERAGE(G352,G358),0),"Não se aplica")))))</f>
        <v>Não se aplica</v>
      </c>
      <c r="H350" s="20">
        <f>COUNTIF(G352:G358,"Não se aplica")</f>
        <v>0</v>
      </c>
      <c r="I350" s="21"/>
      <c r="J350" s="22"/>
      <c r="K350" s="22"/>
      <c r="L350" s="22"/>
      <c r="M350" s="22"/>
      <c r="N350" s="2"/>
    </row>
    <row r="351" spans="1:15" ht="19.5" customHeight="1">
      <c r="A351" s="54" t="s">
        <v>18</v>
      </c>
      <c r="B351" s="55" t="s">
        <v>19</v>
      </c>
      <c r="C351" s="25"/>
      <c r="D351" s="26"/>
      <c r="E351" s="26"/>
      <c r="F351" s="27"/>
      <c r="G351" s="28"/>
      <c r="H351" s="29"/>
      <c r="I351" s="30"/>
      <c r="J351" s="30"/>
      <c r="K351" s="30"/>
      <c r="L351" s="30"/>
      <c r="M351" s="30"/>
      <c r="N351" s="2"/>
    </row>
    <row r="352" spans="1:15" ht="20.25" customHeight="1">
      <c r="A352" s="48" t="s">
        <v>878</v>
      </c>
      <c r="B352" s="33" t="s">
        <v>852</v>
      </c>
      <c r="C352" s="34" t="e">
        <f>VLOOKUP($B$3,[16]QATC16!$B$2:$AF$34,2,FALSE)</f>
        <v>#N/A</v>
      </c>
      <c r="D352" s="35"/>
      <c r="E352" s="35"/>
      <c r="F352" s="34"/>
      <c r="G352" s="37">
        <f>IF(COUNTIF(F353:F357,"Não se aplica")&gt;=2,"Não se aplica",IF(COUNTIF(F353:F357,"Sem classificação")&gt;=2,"Sem classificação",IF(COUNTIF(F353:F357,"Atende")=5,4,IF(COUNTIF(F353:F357,"Atende")&gt;=4,3,IF(COUNTIF(F353:F357,"Atende")&gt;=2,2,IF(COUNTIF(F353:F357,"Atende")&gt;=1,1,0))))))</f>
        <v>0</v>
      </c>
      <c r="H352" s="34"/>
      <c r="I352" s="37"/>
      <c r="J352" s="37"/>
      <c r="K352" s="37"/>
      <c r="L352" s="37"/>
      <c r="M352" s="37"/>
      <c r="N352" s="2"/>
    </row>
    <row r="353" spans="1:14" ht="31.5" customHeight="1">
      <c r="A353" s="47" t="s">
        <v>879</v>
      </c>
      <c r="B353" s="39" t="s">
        <v>880</v>
      </c>
      <c r="C353" s="40"/>
      <c r="D353" s="41"/>
      <c r="E353" s="41"/>
      <c r="F353" s="23"/>
      <c r="G353" s="42">
        <f t="shared" ref="G353:G357" si="43">IF(F353="Atende",1,0)</f>
        <v>0</v>
      </c>
      <c r="H353" s="561" t="s">
        <v>881</v>
      </c>
      <c r="I353" s="39"/>
      <c r="J353" s="30"/>
      <c r="K353" s="30"/>
      <c r="L353" s="30"/>
      <c r="M353" s="30"/>
      <c r="N353" s="2"/>
    </row>
    <row r="354" spans="1:14" ht="31.5" customHeight="1">
      <c r="A354" s="47" t="s">
        <v>882</v>
      </c>
      <c r="B354" s="39" t="s">
        <v>883</v>
      </c>
      <c r="C354" s="40"/>
      <c r="D354" s="41"/>
      <c r="E354" s="41"/>
      <c r="F354" s="23"/>
      <c r="G354" s="42">
        <f t="shared" si="43"/>
        <v>0</v>
      </c>
      <c r="H354" s="557"/>
      <c r="I354" s="39"/>
      <c r="J354" s="30"/>
      <c r="K354" s="30"/>
      <c r="L354" s="30"/>
      <c r="M354" s="30"/>
      <c r="N354" s="2"/>
    </row>
    <row r="355" spans="1:14" ht="65.25" customHeight="1">
      <c r="A355" s="47" t="s">
        <v>884</v>
      </c>
      <c r="B355" s="39" t="s">
        <v>885</v>
      </c>
      <c r="C355" s="40"/>
      <c r="D355" s="41"/>
      <c r="E355" s="41"/>
      <c r="F355" s="23"/>
      <c r="G355" s="42">
        <f t="shared" si="43"/>
        <v>0</v>
      </c>
      <c r="H355" s="557"/>
      <c r="I355" s="39"/>
      <c r="J355" s="30"/>
      <c r="K355" s="30"/>
      <c r="L355" s="30"/>
      <c r="M355" s="30"/>
      <c r="N355" s="2"/>
    </row>
    <row r="356" spans="1:14" ht="51.75" customHeight="1">
      <c r="A356" s="47" t="s">
        <v>886</v>
      </c>
      <c r="B356" s="39" t="s">
        <v>887</v>
      </c>
      <c r="C356" s="40"/>
      <c r="D356" s="41"/>
      <c r="E356" s="41"/>
      <c r="F356" s="23"/>
      <c r="G356" s="42">
        <f t="shared" si="43"/>
        <v>0</v>
      </c>
      <c r="H356" s="557"/>
      <c r="I356" s="39"/>
      <c r="J356" s="30"/>
      <c r="K356" s="30"/>
      <c r="L356" s="30"/>
      <c r="M356" s="30"/>
      <c r="N356" s="2"/>
    </row>
    <row r="357" spans="1:14" ht="31.5" customHeight="1">
      <c r="A357" s="47" t="s">
        <v>888</v>
      </c>
      <c r="B357" s="39" t="s">
        <v>889</v>
      </c>
      <c r="C357" s="40"/>
      <c r="D357" s="41"/>
      <c r="E357" s="41"/>
      <c r="F357" s="23"/>
      <c r="G357" s="42">
        <f t="shared" si="43"/>
        <v>0</v>
      </c>
      <c r="H357" s="557"/>
      <c r="I357" s="418" t="s">
        <v>1807</v>
      </c>
      <c r="J357" s="30"/>
      <c r="K357" s="30"/>
      <c r="L357" s="30"/>
      <c r="M357" s="30"/>
      <c r="N357" s="2"/>
    </row>
    <row r="358" spans="1:14" ht="24.75" customHeight="1">
      <c r="A358" s="48" t="s">
        <v>890</v>
      </c>
      <c r="B358" s="33" t="s">
        <v>862</v>
      </c>
      <c r="C358" s="34" t="e">
        <f>VLOOKUP($B$3,[16]QATC16!$B$2:$AF$34,11,FALSE)</f>
        <v>#N/A</v>
      </c>
      <c r="D358" s="35"/>
      <c r="E358" s="35"/>
      <c r="F358" s="34"/>
      <c r="G358" s="37">
        <f>IF(COUNTIF(F359:F366,"Não se aplica")&gt;=2,"Não se aplica",IF(COUNTIF(F359:F366,"Sem classificação")&gt;=2,"Sem classificação",IF(COUNTIF(F359:F366,"Atende")=8,4,IF(COUNTIF(F359:F366,"Atende")&gt;=6,3,IF(COUNTIF(F359:F366,"Atende")&gt;=4,2,IF(COUNTIF(F359:F366,"Atende")&gt;=2,1,0))))))</f>
        <v>0</v>
      </c>
      <c r="H358" s="37"/>
      <c r="I358" s="37"/>
      <c r="J358" s="37"/>
      <c r="K358" s="37"/>
      <c r="L358" s="37"/>
      <c r="M358" s="37"/>
      <c r="N358" s="2"/>
    </row>
    <row r="359" spans="1:14" ht="40.5" customHeight="1">
      <c r="A359" s="54" t="s">
        <v>891</v>
      </c>
      <c r="B359" s="39" t="s">
        <v>892</v>
      </c>
      <c r="C359" s="40"/>
      <c r="D359" s="53"/>
      <c r="E359" s="53"/>
      <c r="F359" s="23"/>
      <c r="G359" s="23">
        <f t="shared" ref="G359:G366" si="44">IF(F359="Atende",1,0)</f>
        <v>0</v>
      </c>
      <c r="H359" s="561" t="s">
        <v>893</v>
      </c>
      <c r="I359" s="39"/>
      <c r="J359" s="30"/>
      <c r="K359" s="30"/>
      <c r="L359" s="30"/>
      <c r="M359" s="30"/>
      <c r="N359" s="2"/>
    </row>
    <row r="360" spans="1:14" ht="31.5" customHeight="1">
      <c r="A360" s="54" t="s">
        <v>894</v>
      </c>
      <c r="B360" s="39" t="s">
        <v>895</v>
      </c>
      <c r="C360" s="40"/>
      <c r="D360" s="53"/>
      <c r="E360" s="53"/>
      <c r="F360" s="23"/>
      <c r="G360" s="23">
        <f t="shared" si="44"/>
        <v>0</v>
      </c>
      <c r="H360" s="557"/>
      <c r="I360" s="39"/>
      <c r="J360" s="30"/>
      <c r="K360" s="30"/>
      <c r="L360" s="30"/>
      <c r="M360" s="30"/>
      <c r="N360" s="2"/>
    </row>
    <row r="361" spans="1:14" ht="25.5" customHeight="1">
      <c r="A361" s="54" t="s">
        <v>896</v>
      </c>
      <c r="B361" s="39" t="s">
        <v>897</v>
      </c>
      <c r="C361" s="40"/>
      <c r="D361" s="53"/>
      <c r="E361" s="53"/>
      <c r="F361" s="23"/>
      <c r="G361" s="23">
        <f t="shared" si="44"/>
        <v>0</v>
      </c>
      <c r="H361" s="557"/>
      <c r="I361" s="39"/>
      <c r="J361" s="30"/>
      <c r="K361" s="30"/>
      <c r="L361" s="30"/>
      <c r="M361" s="30"/>
      <c r="N361" s="2"/>
    </row>
    <row r="362" spans="1:14" ht="42" customHeight="1">
      <c r="A362" s="54" t="s">
        <v>898</v>
      </c>
      <c r="B362" s="39" t="s">
        <v>899</v>
      </c>
      <c r="C362" s="40"/>
      <c r="D362" s="53"/>
      <c r="E362" s="53"/>
      <c r="F362" s="23"/>
      <c r="G362" s="23">
        <f t="shared" si="44"/>
        <v>0</v>
      </c>
      <c r="H362" s="557"/>
      <c r="I362" s="39"/>
      <c r="J362" s="30"/>
      <c r="K362" s="30"/>
      <c r="L362" s="30"/>
      <c r="M362" s="30"/>
      <c r="N362" s="2"/>
    </row>
    <row r="363" spans="1:14" ht="33.75" customHeight="1">
      <c r="A363" s="54" t="s">
        <v>900</v>
      </c>
      <c r="B363" s="39" t="s">
        <v>901</v>
      </c>
      <c r="C363" s="40"/>
      <c r="D363" s="53"/>
      <c r="E363" s="53"/>
      <c r="F363" s="23"/>
      <c r="G363" s="23">
        <f t="shared" si="44"/>
        <v>0</v>
      </c>
      <c r="H363" s="557"/>
      <c r="I363" s="39"/>
      <c r="J363" s="30"/>
      <c r="K363" s="30"/>
      <c r="L363" s="30"/>
      <c r="M363" s="30"/>
      <c r="N363" s="2"/>
    </row>
    <row r="364" spans="1:14" ht="28.5" customHeight="1">
      <c r="A364" s="54" t="s">
        <v>902</v>
      </c>
      <c r="B364" s="39" t="s">
        <v>903</v>
      </c>
      <c r="C364" s="40"/>
      <c r="D364" s="53"/>
      <c r="E364" s="53"/>
      <c r="F364" s="23"/>
      <c r="G364" s="23">
        <f t="shared" si="44"/>
        <v>0</v>
      </c>
      <c r="H364" s="557"/>
      <c r="I364" s="39"/>
      <c r="J364" s="30"/>
      <c r="K364" s="30"/>
      <c r="L364" s="30"/>
      <c r="M364" s="30"/>
      <c r="N364" s="2"/>
    </row>
    <row r="365" spans="1:14" ht="33" customHeight="1">
      <c r="A365" s="54" t="s">
        <v>904</v>
      </c>
      <c r="B365" s="39" t="s">
        <v>905</v>
      </c>
      <c r="C365" s="40"/>
      <c r="D365" s="53"/>
      <c r="E365" s="53"/>
      <c r="F365" s="23"/>
      <c r="G365" s="23">
        <f t="shared" si="44"/>
        <v>0</v>
      </c>
      <c r="H365" s="557"/>
      <c r="I365" s="39"/>
      <c r="J365" s="30"/>
      <c r="K365" s="30"/>
      <c r="L365" s="30"/>
      <c r="M365" s="30"/>
      <c r="N365" s="2"/>
    </row>
    <row r="366" spans="1:14" ht="24" customHeight="1">
      <c r="A366" s="54" t="s">
        <v>906</v>
      </c>
      <c r="B366" s="39" t="s">
        <v>907</v>
      </c>
      <c r="C366" s="40"/>
      <c r="D366" s="53"/>
      <c r="E366" s="53"/>
      <c r="F366" s="23"/>
      <c r="G366" s="23">
        <f t="shared" si="44"/>
        <v>0</v>
      </c>
      <c r="H366" s="570"/>
      <c r="I366" s="349" t="s">
        <v>1611</v>
      </c>
      <c r="J366" s="30"/>
      <c r="K366" s="30"/>
      <c r="L366" s="30"/>
      <c r="M366" s="30"/>
      <c r="N366" s="2"/>
    </row>
    <row r="367" spans="1:14" ht="26.25" customHeight="1">
      <c r="A367" s="550" t="s">
        <v>908</v>
      </c>
      <c r="B367" s="551"/>
      <c r="C367" s="46" t="s">
        <v>680</v>
      </c>
      <c r="D367" s="51"/>
      <c r="E367" s="51"/>
      <c r="F367" s="46"/>
      <c r="G367" s="46"/>
      <c r="H367" s="46"/>
      <c r="I367" s="46"/>
      <c r="J367" s="46"/>
      <c r="K367" s="46"/>
      <c r="L367" s="46"/>
      <c r="M367" s="46"/>
      <c r="N367" s="2"/>
    </row>
    <row r="368" spans="1:14" ht="31.5" customHeight="1">
      <c r="A368" s="15" t="s">
        <v>234</v>
      </c>
      <c r="B368" s="469" t="s">
        <v>909</v>
      </c>
      <c r="C368" s="473" t="s">
        <v>680</v>
      </c>
      <c r="D368" s="471"/>
      <c r="E368" s="472">
        <f>SUM(G370,G376)</f>
        <v>2</v>
      </c>
      <c r="F368" s="473"/>
      <c r="G368" s="505" t="str">
        <f>IF(H368&gt;=2,"Não se aplica",IF(I368&gt;=2,"Sem classificação",IF(F368=4,IF(E368&lt;=2,0,IF(E368&lt;=6,1,IF(E368&lt;=10,2,IF(E368&lt;=14,3,4)))),IF(F368=3,ROUND(AVERAGE(G370,G376),0),IF(F368=2,ROUNDDOWN(AVERAGE(G370,G376),0),"Não se aplica")))))</f>
        <v>Não se aplica</v>
      </c>
      <c r="H368" s="446">
        <f>COUNTIF(G370:G376,"Não se aplica")</f>
        <v>0</v>
      </c>
      <c r="I368" s="447"/>
      <c r="J368" s="22"/>
      <c r="K368" s="22"/>
      <c r="L368" s="22"/>
      <c r="M368" s="22"/>
      <c r="N368" s="2"/>
    </row>
    <row r="369" spans="1:14" ht="21.75" customHeight="1">
      <c r="A369" s="54" t="s">
        <v>18</v>
      </c>
      <c r="B369" s="478" t="s">
        <v>19</v>
      </c>
      <c r="C369" s="479"/>
      <c r="D369" s="480"/>
      <c r="E369" s="480"/>
      <c r="F369" s="481"/>
      <c r="G369" s="515"/>
      <c r="H369" s="448"/>
      <c r="I369" s="449"/>
      <c r="J369" s="30"/>
      <c r="K369" s="30"/>
      <c r="L369" s="30"/>
      <c r="M369" s="30"/>
      <c r="N369" s="2"/>
    </row>
    <row r="370" spans="1:14" ht="25.5" customHeight="1">
      <c r="A370" s="48" t="s">
        <v>910</v>
      </c>
      <c r="B370" s="461" t="s">
        <v>911</v>
      </c>
      <c r="C370" s="462" t="e">
        <f>VLOOKUP($B$3,[17]QATC17!$B$2:$AG$34,2,FALSE)</f>
        <v>#N/A</v>
      </c>
      <c r="D370" s="463"/>
      <c r="E370" s="463"/>
      <c r="F370" s="462"/>
      <c r="G370" s="486">
        <f>IF(COUNTIF(F371:F375,"Não se aplica")&gt;=2,"Não se aplica",IF(COUNTIF(F371:F375,"Sem classificação")&gt;=2,"Sem classificação",IF(COUNTIF(F371:F375,"Atende")=5,4,IF(AND(COUNTIF(F371:F375,"Atende")&gt;=4,F371="Atende",F374="Atende",F375="Atende"),3,IF(AND(COUNTIF(F371:F375,"Atende")&gt;=2,F371="Atende",F374="Atende"),2,IF(COUNTIF(F371:F375,"Atende")&gt;=2,1,0))))))</f>
        <v>2</v>
      </c>
      <c r="H370" s="450"/>
      <c r="I370" s="451"/>
      <c r="J370" s="37"/>
      <c r="K370" s="37"/>
      <c r="L370" s="37"/>
      <c r="M370" s="37"/>
      <c r="N370" s="2"/>
    </row>
    <row r="371" spans="1:14" ht="27.75" customHeight="1">
      <c r="A371" s="453" t="s">
        <v>912</v>
      </c>
      <c r="B371" s="384" t="s">
        <v>913</v>
      </c>
      <c r="C371" s="454"/>
      <c r="D371" s="455"/>
      <c r="E371" s="455"/>
      <c r="F371" s="421" t="s">
        <v>1258</v>
      </c>
      <c r="G371" s="456">
        <f t="shared" ref="G371:G375" si="45">IF(F371="Atende",1,0)</f>
        <v>1</v>
      </c>
      <c r="H371" s="572" t="s">
        <v>914</v>
      </c>
      <c r="I371" s="457" t="s">
        <v>1932</v>
      </c>
      <c r="J371" s="30" t="s">
        <v>1956</v>
      </c>
      <c r="K371" s="535"/>
      <c r="L371" s="535"/>
      <c r="M371" s="535"/>
      <c r="N371" s="376" t="s">
        <v>1728</v>
      </c>
    </row>
    <row r="372" spans="1:14" ht="25.5" customHeight="1">
      <c r="A372" s="453" t="s">
        <v>915</v>
      </c>
      <c r="B372" s="384" t="s">
        <v>916</v>
      </c>
      <c r="C372" s="454"/>
      <c r="D372" s="455"/>
      <c r="E372" s="455"/>
      <c r="F372" s="421" t="s">
        <v>1258</v>
      </c>
      <c r="G372" s="456">
        <f t="shared" si="45"/>
        <v>1</v>
      </c>
      <c r="H372" s="566"/>
      <c r="I372" s="345" t="s">
        <v>1933</v>
      </c>
      <c r="J372" s="30" t="s">
        <v>1956</v>
      </c>
      <c r="K372" s="30"/>
      <c r="L372" s="30"/>
      <c r="M372" s="30"/>
      <c r="N372" s="376" t="s">
        <v>1728</v>
      </c>
    </row>
    <row r="373" spans="1:14" ht="21.75" customHeight="1">
      <c r="A373" s="453" t="s">
        <v>917</v>
      </c>
      <c r="B373" s="384" t="s">
        <v>918</v>
      </c>
      <c r="C373" s="454"/>
      <c r="D373" s="455"/>
      <c r="E373" s="455"/>
      <c r="F373" s="421" t="s">
        <v>1258</v>
      </c>
      <c r="G373" s="456">
        <f t="shared" si="45"/>
        <v>1</v>
      </c>
      <c r="H373" s="566"/>
      <c r="I373" s="458" t="s">
        <v>1934</v>
      </c>
      <c r="J373" s="30" t="s">
        <v>1956</v>
      </c>
      <c r="K373" s="30"/>
      <c r="L373" s="30"/>
      <c r="M373" s="30"/>
      <c r="N373" s="376" t="s">
        <v>1728</v>
      </c>
    </row>
    <row r="374" spans="1:14" ht="24.75" customHeight="1">
      <c r="A374" s="453" t="s">
        <v>919</v>
      </c>
      <c r="B374" s="384" t="s">
        <v>920</v>
      </c>
      <c r="C374" s="454"/>
      <c r="D374" s="455"/>
      <c r="E374" s="455"/>
      <c r="F374" s="421" t="s">
        <v>1258</v>
      </c>
      <c r="G374" s="456">
        <f t="shared" si="45"/>
        <v>1</v>
      </c>
      <c r="H374" s="566"/>
      <c r="I374" s="459" t="s">
        <v>1935</v>
      </c>
      <c r="J374" s="30" t="s">
        <v>1956</v>
      </c>
      <c r="K374" s="30"/>
      <c r="L374" s="30"/>
      <c r="M374" s="30"/>
      <c r="N374" s="2"/>
    </row>
    <row r="375" spans="1:14" ht="24.75" customHeight="1">
      <c r="A375" s="453" t="s">
        <v>921</v>
      </c>
      <c r="B375" s="384" t="s">
        <v>922</v>
      </c>
      <c r="C375" s="454"/>
      <c r="D375" s="455"/>
      <c r="E375" s="455"/>
      <c r="F375" s="421"/>
      <c r="G375" s="456">
        <f t="shared" si="45"/>
        <v>0</v>
      </c>
      <c r="H375" s="575"/>
      <c r="I375" s="345" t="s">
        <v>1936</v>
      </c>
      <c r="J375" s="30"/>
      <c r="K375" s="30"/>
      <c r="L375" s="30"/>
      <c r="M375" s="30"/>
      <c r="N375" s="2"/>
    </row>
    <row r="376" spans="1:14" ht="24.75" customHeight="1">
      <c r="A376" s="460" t="s">
        <v>923</v>
      </c>
      <c r="B376" s="461" t="s">
        <v>924</v>
      </c>
      <c r="C376" s="462" t="e">
        <f>VLOOKUP($B$3,[17]QATC17!$B$2:$AG$34,13,FALSE)</f>
        <v>#N/A</v>
      </c>
      <c r="D376" s="463"/>
      <c r="E376" s="463"/>
      <c r="F376" s="462"/>
      <c r="G376" s="464">
        <f>IF(COUNTIF(F377:F385,"Não se aplica")&gt;=2,"Não se aplica",IF(COUNTIF(F377:F385,"Sem classificação")&gt;=2,"Sem classificação",IF(COUNTIF(F377:F385,"Atende")=9,4,IF(COUNTIF(F377:F382,"Atende")&gt;=6,3,IF(COUNTIF(F377:F385,"Atende")&gt;=4,2,IF(COUNTIF(F377:F385,"Atende")&gt;=2,1,0))))))</f>
        <v>0</v>
      </c>
      <c r="H376" s="465"/>
      <c r="I376" s="466"/>
      <c r="J376" s="37"/>
      <c r="K376" s="37"/>
      <c r="L376" s="37"/>
      <c r="M376" s="37"/>
      <c r="N376" s="2"/>
    </row>
    <row r="377" spans="1:14" ht="28.5" customHeight="1">
      <c r="A377" s="453" t="s">
        <v>925</v>
      </c>
      <c r="B377" s="384" t="s">
        <v>926</v>
      </c>
      <c r="C377" s="454"/>
      <c r="D377" s="455"/>
      <c r="E377" s="455"/>
      <c r="F377" s="372"/>
      <c r="G377" s="456">
        <f t="shared" ref="G377:G385" si="46">IF(F377="Atende",1,0)</f>
        <v>0</v>
      </c>
      <c r="H377" s="572" t="s">
        <v>927</v>
      </c>
      <c r="I377" s="467"/>
      <c r="J377" s="169"/>
      <c r="K377" s="169"/>
      <c r="L377" s="169"/>
      <c r="M377" s="169"/>
      <c r="N377" s="2"/>
    </row>
    <row r="378" spans="1:14" ht="26.25" customHeight="1">
      <c r="A378" s="453" t="s">
        <v>928</v>
      </c>
      <c r="B378" s="384" t="s">
        <v>929</v>
      </c>
      <c r="C378" s="454"/>
      <c r="D378" s="455"/>
      <c r="E378" s="455"/>
      <c r="F378" s="421"/>
      <c r="G378" s="456">
        <f t="shared" si="46"/>
        <v>0</v>
      </c>
      <c r="H378" s="566"/>
      <c r="I378" s="366" t="s">
        <v>1612</v>
      </c>
      <c r="J378" s="30"/>
      <c r="K378" s="30"/>
      <c r="L378" s="30"/>
      <c r="M378" s="30"/>
      <c r="N378" s="2"/>
    </row>
    <row r="379" spans="1:14" ht="24.75" customHeight="1">
      <c r="A379" s="453" t="s">
        <v>930</v>
      </c>
      <c r="B379" s="384" t="s">
        <v>931</v>
      </c>
      <c r="C379" s="454"/>
      <c r="D379" s="455"/>
      <c r="E379" s="455"/>
      <c r="F379" s="421"/>
      <c r="G379" s="456">
        <f t="shared" si="46"/>
        <v>0</v>
      </c>
      <c r="H379" s="566"/>
      <c r="I379" s="384"/>
      <c r="J379" s="30"/>
      <c r="K379" s="30"/>
      <c r="L379" s="30"/>
      <c r="M379" s="30"/>
      <c r="N379" s="2"/>
    </row>
    <row r="380" spans="1:14" ht="43.5" customHeight="1">
      <c r="A380" s="453" t="s">
        <v>932</v>
      </c>
      <c r="B380" s="384" t="s">
        <v>933</v>
      </c>
      <c r="C380" s="454"/>
      <c r="D380" s="455"/>
      <c r="E380" s="455"/>
      <c r="F380" s="421"/>
      <c r="G380" s="456">
        <f t="shared" si="46"/>
        <v>0</v>
      </c>
      <c r="H380" s="566"/>
      <c r="I380" s="384"/>
      <c r="J380" s="30"/>
      <c r="K380" s="30"/>
      <c r="L380" s="30"/>
      <c r="M380" s="30"/>
      <c r="N380" s="2"/>
    </row>
    <row r="381" spans="1:14" ht="34.5" customHeight="1">
      <c r="A381" s="453" t="s">
        <v>934</v>
      </c>
      <c r="B381" s="384" t="s">
        <v>935</v>
      </c>
      <c r="C381" s="454"/>
      <c r="D381" s="455"/>
      <c r="E381" s="455"/>
      <c r="F381" s="421"/>
      <c r="G381" s="456">
        <f t="shared" si="46"/>
        <v>0</v>
      </c>
      <c r="H381" s="566"/>
      <c r="I381" s="384"/>
      <c r="J381" s="30"/>
      <c r="K381" s="30"/>
      <c r="L381" s="30"/>
      <c r="M381" s="30"/>
      <c r="N381" s="2"/>
    </row>
    <row r="382" spans="1:14" ht="27.75" customHeight="1">
      <c r="A382" s="453" t="s">
        <v>936</v>
      </c>
      <c r="B382" s="384" t="s">
        <v>937</v>
      </c>
      <c r="C382" s="454"/>
      <c r="D382" s="455"/>
      <c r="E382" s="455"/>
      <c r="F382" s="421"/>
      <c r="G382" s="456">
        <f t="shared" si="46"/>
        <v>0</v>
      </c>
      <c r="H382" s="566"/>
      <c r="I382" s="384"/>
      <c r="J382" s="30"/>
      <c r="K382" s="30"/>
      <c r="L382" s="30"/>
      <c r="M382" s="30"/>
      <c r="N382" s="2"/>
    </row>
    <row r="383" spans="1:14" ht="27.75" customHeight="1">
      <c r="A383" s="453" t="s">
        <v>938</v>
      </c>
      <c r="B383" s="384" t="s">
        <v>939</v>
      </c>
      <c r="C383" s="454"/>
      <c r="D383" s="455"/>
      <c r="E383" s="455"/>
      <c r="F383" s="421"/>
      <c r="G383" s="456">
        <f t="shared" si="46"/>
        <v>0</v>
      </c>
      <c r="H383" s="566"/>
      <c r="I383" s="384"/>
      <c r="J383" s="30"/>
      <c r="K383" s="30"/>
      <c r="L383" s="30"/>
      <c r="M383" s="30"/>
      <c r="N383" s="2"/>
    </row>
    <row r="384" spans="1:14" ht="28.5" customHeight="1">
      <c r="A384" s="453" t="s">
        <v>940</v>
      </c>
      <c r="B384" s="384" t="s">
        <v>941</v>
      </c>
      <c r="C384" s="454"/>
      <c r="D384" s="455"/>
      <c r="E384" s="455"/>
      <c r="F384" s="421"/>
      <c r="G384" s="456">
        <f t="shared" si="46"/>
        <v>0</v>
      </c>
      <c r="H384" s="566"/>
      <c r="I384" s="384"/>
      <c r="J384" s="30"/>
      <c r="K384" s="30"/>
      <c r="L384" s="30"/>
      <c r="M384" s="30"/>
      <c r="N384" s="2"/>
    </row>
    <row r="385" spans="1:14" ht="27.75" customHeight="1">
      <c r="A385" s="453" t="s">
        <v>942</v>
      </c>
      <c r="B385" s="384" t="s">
        <v>943</v>
      </c>
      <c r="C385" s="454"/>
      <c r="D385" s="455"/>
      <c r="E385" s="455"/>
      <c r="F385" s="421"/>
      <c r="G385" s="456">
        <f t="shared" si="46"/>
        <v>0</v>
      </c>
      <c r="H385" s="575"/>
      <c r="I385" s="384"/>
      <c r="J385" s="30"/>
      <c r="K385" s="30"/>
      <c r="L385" s="30"/>
      <c r="M385" s="30"/>
      <c r="N385" s="2"/>
    </row>
    <row r="386" spans="1:14" ht="25.5" customHeight="1">
      <c r="A386" s="468" t="s">
        <v>240</v>
      </c>
      <c r="B386" s="469" t="s">
        <v>944</v>
      </c>
      <c r="C386" s="470" t="s">
        <v>680</v>
      </c>
      <c r="D386" s="471"/>
      <c r="E386" s="472">
        <f>SUM(G388,G415,G420,G427)</f>
        <v>7</v>
      </c>
      <c r="F386" s="473"/>
      <c r="G386" s="474" t="str">
        <f>IF(H386&gt;=2,"Não se aplica",IF(I386&gt;=2,"Sem classificação",IF(F386=4,IF(E386&lt;=2,0,IF(E386&lt;=6,1,IF(E386&lt;=10,2,IF(E386&lt;=14,3,4)))),IF(F386=3,ROUND(AVERAGE(G388,G415,G420,G427),0),IF(F386=2,ROUNDDOWN(AVERAGE(G388,G415,G420,G427),0),"Não se aplica")))))</f>
        <v>Não se aplica</v>
      </c>
      <c r="H386" s="475">
        <f>COUNTIF(G388:G427,"Não se aplica")</f>
        <v>0</v>
      </c>
      <c r="I386" s="476"/>
      <c r="J386" s="22"/>
      <c r="K386" s="22"/>
      <c r="L386" s="22"/>
      <c r="M386" s="22"/>
      <c r="N386" s="2"/>
    </row>
    <row r="387" spans="1:14" ht="30.75" customHeight="1">
      <c r="A387" s="477" t="s">
        <v>18</v>
      </c>
      <c r="B387" s="478" t="s">
        <v>19</v>
      </c>
      <c r="C387" s="479"/>
      <c r="D387" s="480"/>
      <c r="E387" s="480"/>
      <c r="F387" s="481"/>
      <c r="G387" s="482"/>
      <c r="H387" s="483"/>
      <c r="I387" s="484"/>
      <c r="J387" s="30"/>
      <c r="K387" s="30"/>
      <c r="L387" s="30"/>
      <c r="M387" s="30"/>
      <c r="N387" s="2"/>
    </row>
    <row r="388" spans="1:14" ht="31.5" customHeight="1">
      <c r="A388" s="460" t="s">
        <v>945</v>
      </c>
      <c r="B388" s="485" t="s">
        <v>946</v>
      </c>
      <c r="C388" s="462" t="e">
        <f>VLOOKUP($B$3,[18]QATC18!$B$2:$BN$34,2,FALSE)</f>
        <v>#N/A</v>
      </c>
      <c r="D388" s="463"/>
      <c r="E388" s="463"/>
      <c r="F388" s="462"/>
      <c r="G388" s="486">
        <f>IF(COUNTIF(F389:F414,"Não se aplica")&gt;=2,"Não se aplica",IF(COUNTIF(F389:F414,"Sem classificação")&gt;=2,"Sem classificação",IF(AND(COUNTIF(F389:F414,"Atende")=26,(COUNTIF(E389:E414,"Atende")=26)),4,IF(COUNTIF(F389:F414,"Atende")=26,3,IF(COUNTIF(F389,"Atende")=1,2,IF(COUNTIF(F405,"Atende")=1,2,IF(COUNTIF(F389,"Atende")=1,1,IF(COUNTIF(F406,"Atende")=1,2,0))))))))</f>
        <v>0</v>
      </c>
      <c r="H388" s="465"/>
      <c r="I388" s="487"/>
      <c r="J388" s="37"/>
      <c r="K388" s="37"/>
      <c r="L388" s="37"/>
      <c r="M388" s="37"/>
      <c r="N388" s="2"/>
    </row>
    <row r="389" spans="1:14" ht="69" customHeight="1">
      <c r="A389" s="565" t="s">
        <v>947</v>
      </c>
      <c r="B389" s="488" t="s">
        <v>948</v>
      </c>
      <c r="C389" s="489"/>
      <c r="D389" s="490"/>
      <c r="E389" s="490">
        <f t="shared" ref="E389:E414" si="47">IF(F389="Atende","Atende",0)</f>
        <v>0</v>
      </c>
      <c r="F389" s="421"/>
      <c r="G389" s="456">
        <f>IF(F389="Atende",1,0)</f>
        <v>0</v>
      </c>
      <c r="H389" s="565" t="s">
        <v>949</v>
      </c>
      <c r="I389" s="384"/>
      <c r="J389" s="157"/>
      <c r="K389" s="157"/>
      <c r="L389" s="157"/>
      <c r="M389" s="170"/>
      <c r="N389" s="2"/>
    </row>
    <row r="390" spans="1:14" ht="31.5" customHeight="1">
      <c r="A390" s="566"/>
      <c r="B390" s="387" t="s">
        <v>950</v>
      </c>
      <c r="C390" s="491"/>
      <c r="D390" s="492"/>
      <c r="E390" s="490" t="str">
        <f t="shared" si="47"/>
        <v>Atende</v>
      </c>
      <c r="F390" s="421" t="s">
        <v>1258</v>
      </c>
      <c r="G390" s="493"/>
      <c r="H390" s="566"/>
      <c r="I390" s="345" t="s">
        <v>1613</v>
      </c>
      <c r="J390" s="54" t="s">
        <v>1956</v>
      </c>
      <c r="K390" s="54"/>
      <c r="L390" s="54"/>
      <c r="M390" s="54"/>
      <c r="N390" s="376" t="s">
        <v>1729</v>
      </c>
    </row>
    <row r="391" spans="1:14" ht="21" customHeight="1">
      <c r="A391" s="566"/>
      <c r="B391" s="494" t="s">
        <v>951</v>
      </c>
      <c r="C391" s="479"/>
      <c r="D391" s="495"/>
      <c r="E391" s="490" t="str">
        <f t="shared" si="47"/>
        <v>Atende</v>
      </c>
      <c r="F391" s="479" t="s">
        <v>1258</v>
      </c>
      <c r="G391" s="456"/>
      <c r="H391" s="566"/>
      <c r="I391" s="345" t="s">
        <v>1613</v>
      </c>
      <c r="J391" s="54" t="s">
        <v>1956</v>
      </c>
      <c r="K391" s="54"/>
      <c r="L391" s="54"/>
      <c r="M391" s="54"/>
      <c r="N391" s="376" t="s">
        <v>1729</v>
      </c>
    </row>
    <row r="392" spans="1:14" ht="26.25" customHeight="1">
      <c r="A392" s="566"/>
      <c r="B392" s="494" t="s">
        <v>952</v>
      </c>
      <c r="C392" s="479"/>
      <c r="D392" s="495"/>
      <c r="E392" s="490" t="str">
        <f t="shared" si="47"/>
        <v>Atende</v>
      </c>
      <c r="F392" s="479" t="s">
        <v>1258</v>
      </c>
      <c r="G392" s="456"/>
      <c r="H392" s="566"/>
      <c r="I392" s="345" t="s">
        <v>1613</v>
      </c>
      <c r="J392" s="54" t="s">
        <v>1956</v>
      </c>
      <c r="K392" s="54"/>
      <c r="L392" s="54"/>
      <c r="M392" s="54"/>
      <c r="N392" s="376" t="s">
        <v>1729</v>
      </c>
    </row>
    <row r="393" spans="1:14" ht="26.25" customHeight="1">
      <c r="A393" s="566"/>
      <c r="B393" s="494" t="s">
        <v>953</v>
      </c>
      <c r="C393" s="479"/>
      <c r="D393" s="495"/>
      <c r="E393" s="490" t="str">
        <f t="shared" si="47"/>
        <v>Atende</v>
      </c>
      <c r="F393" s="479" t="s">
        <v>1258</v>
      </c>
      <c r="G393" s="456"/>
      <c r="H393" s="566"/>
      <c r="I393" s="345" t="s">
        <v>1613</v>
      </c>
      <c r="J393" s="54" t="s">
        <v>1956</v>
      </c>
      <c r="K393" s="54"/>
      <c r="L393" s="54"/>
      <c r="M393" s="54"/>
      <c r="N393" s="376" t="s">
        <v>1729</v>
      </c>
    </row>
    <row r="394" spans="1:14" ht="27" customHeight="1">
      <c r="A394" s="566"/>
      <c r="B394" s="494" t="s">
        <v>954</v>
      </c>
      <c r="C394" s="479"/>
      <c r="D394" s="495"/>
      <c r="E394" s="490" t="str">
        <f t="shared" si="47"/>
        <v>Atende</v>
      </c>
      <c r="F394" s="479" t="s">
        <v>1258</v>
      </c>
      <c r="G394" s="456"/>
      <c r="H394" s="566"/>
      <c r="I394" s="345" t="s">
        <v>1613</v>
      </c>
      <c r="J394" s="54" t="s">
        <v>1956</v>
      </c>
      <c r="K394" s="54"/>
      <c r="L394" s="54"/>
      <c r="M394" s="54"/>
      <c r="N394" s="376" t="s">
        <v>1729</v>
      </c>
    </row>
    <row r="395" spans="1:14" ht="21" customHeight="1">
      <c r="A395" s="566"/>
      <c r="B395" s="494" t="s">
        <v>955</v>
      </c>
      <c r="C395" s="479"/>
      <c r="D395" s="495"/>
      <c r="E395" s="490" t="str">
        <f t="shared" si="47"/>
        <v>Atende</v>
      </c>
      <c r="F395" s="479" t="s">
        <v>1258</v>
      </c>
      <c r="G395" s="456"/>
      <c r="H395" s="566"/>
      <c r="I395" s="345" t="s">
        <v>1613</v>
      </c>
      <c r="J395" s="54" t="s">
        <v>1956</v>
      </c>
      <c r="K395" s="54"/>
      <c r="L395" s="54"/>
      <c r="M395" s="54"/>
      <c r="N395" s="376" t="s">
        <v>1729</v>
      </c>
    </row>
    <row r="396" spans="1:14" ht="23.25" customHeight="1">
      <c r="A396" s="566"/>
      <c r="B396" s="494" t="s">
        <v>956</v>
      </c>
      <c r="C396" s="479"/>
      <c r="D396" s="495"/>
      <c r="E396" s="490" t="str">
        <f t="shared" si="47"/>
        <v>Atende</v>
      </c>
      <c r="F396" s="479" t="s">
        <v>1258</v>
      </c>
      <c r="G396" s="456"/>
      <c r="H396" s="566"/>
      <c r="I396" s="345" t="s">
        <v>1613</v>
      </c>
      <c r="J396" s="54" t="s">
        <v>1956</v>
      </c>
      <c r="K396" s="54"/>
      <c r="L396" s="54"/>
      <c r="M396" s="54"/>
      <c r="N396" s="376" t="s">
        <v>1729</v>
      </c>
    </row>
    <row r="397" spans="1:14" ht="33.75" customHeight="1">
      <c r="A397" s="566"/>
      <c r="B397" s="426" t="s">
        <v>957</v>
      </c>
      <c r="C397" s="479"/>
      <c r="D397" s="495"/>
      <c r="E397" s="490" t="str">
        <f t="shared" si="47"/>
        <v>Atende</v>
      </c>
      <c r="F397" s="479" t="s">
        <v>1258</v>
      </c>
      <c r="G397" s="456"/>
      <c r="H397" s="566"/>
      <c r="I397" s="345" t="s">
        <v>1613</v>
      </c>
      <c r="J397" s="54" t="s">
        <v>1956</v>
      </c>
      <c r="K397" s="54"/>
      <c r="L397" s="54"/>
      <c r="M397" s="54"/>
      <c r="N397" s="376" t="s">
        <v>1729</v>
      </c>
    </row>
    <row r="398" spans="1:14" ht="37.5" customHeight="1">
      <c r="A398" s="566"/>
      <c r="B398" s="426" t="s">
        <v>958</v>
      </c>
      <c r="C398" s="479"/>
      <c r="D398" s="495"/>
      <c r="E398" s="490" t="str">
        <f t="shared" si="47"/>
        <v>Atende</v>
      </c>
      <c r="F398" s="479" t="s">
        <v>1258</v>
      </c>
      <c r="G398" s="456"/>
      <c r="H398" s="566"/>
      <c r="I398" s="345" t="s">
        <v>1613</v>
      </c>
      <c r="J398" s="54" t="s">
        <v>1956</v>
      </c>
      <c r="K398" s="54"/>
      <c r="L398" s="54"/>
      <c r="M398" s="54"/>
      <c r="N398" s="376" t="s">
        <v>1729</v>
      </c>
    </row>
    <row r="399" spans="1:14" ht="24.75" customHeight="1">
      <c r="A399" s="566"/>
      <c r="B399" s="426" t="s">
        <v>959</v>
      </c>
      <c r="C399" s="479"/>
      <c r="D399" s="495"/>
      <c r="E399" s="490" t="str">
        <f t="shared" si="47"/>
        <v>Atende</v>
      </c>
      <c r="F399" s="479" t="s">
        <v>1258</v>
      </c>
      <c r="G399" s="456"/>
      <c r="H399" s="566"/>
      <c r="I399" s="345" t="s">
        <v>1613</v>
      </c>
      <c r="J399" s="54" t="s">
        <v>1956</v>
      </c>
      <c r="K399" s="54"/>
      <c r="L399" s="54"/>
      <c r="M399" s="54"/>
      <c r="N399" s="376" t="s">
        <v>1729</v>
      </c>
    </row>
    <row r="400" spans="1:14" ht="21.75" customHeight="1">
      <c r="A400" s="566"/>
      <c r="B400" s="426" t="s">
        <v>960</v>
      </c>
      <c r="C400" s="479"/>
      <c r="D400" s="495"/>
      <c r="E400" s="490" t="str">
        <f t="shared" si="47"/>
        <v>Atende</v>
      </c>
      <c r="F400" s="479" t="s">
        <v>1258</v>
      </c>
      <c r="G400" s="456"/>
      <c r="H400" s="566"/>
      <c r="I400" s="345" t="s">
        <v>1613</v>
      </c>
      <c r="J400" s="54" t="s">
        <v>1956</v>
      </c>
      <c r="K400" s="54"/>
      <c r="L400" s="54"/>
      <c r="M400" s="54"/>
      <c r="N400" s="376" t="s">
        <v>1729</v>
      </c>
    </row>
    <row r="401" spans="1:14" ht="22.5" customHeight="1">
      <c r="A401" s="566"/>
      <c r="B401" s="426" t="s">
        <v>961</v>
      </c>
      <c r="C401" s="479"/>
      <c r="D401" s="495"/>
      <c r="E401" s="490" t="str">
        <f t="shared" si="47"/>
        <v>Atende</v>
      </c>
      <c r="F401" s="479" t="s">
        <v>1258</v>
      </c>
      <c r="G401" s="456"/>
      <c r="H401" s="566"/>
      <c r="I401" s="345" t="s">
        <v>1613</v>
      </c>
      <c r="J401" s="54" t="s">
        <v>1956</v>
      </c>
      <c r="K401" s="54"/>
      <c r="L401" s="54"/>
      <c r="M401" s="54"/>
      <c r="N401" s="376" t="s">
        <v>1729</v>
      </c>
    </row>
    <row r="402" spans="1:14" ht="21" customHeight="1">
      <c r="A402" s="566"/>
      <c r="B402" s="426" t="s">
        <v>962</v>
      </c>
      <c r="C402" s="479"/>
      <c r="D402" s="495"/>
      <c r="E402" s="490" t="str">
        <f t="shared" si="47"/>
        <v>Atende</v>
      </c>
      <c r="F402" s="479" t="s">
        <v>1258</v>
      </c>
      <c r="G402" s="456"/>
      <c r="H402" s="566"/>
      <c r="I402" s="345" t="s">
        <v>1613</v>
      </c>
      <c r="J402" s="54" t="s">
        <v>1956</v>
      </c>
      <c r="K402" s="54"/>
      <c r="L402" s="54"/>
      <c r="M402" s="54"/>
      <c r="N402" s="376" t="s">
        <v>1729</v>
      </c>
    </row>
    <row r="403" spans="1:14" ht="25.5" customHeight="1">
      <c r="A403" s="566"/>
      <c r="B403" s="426" t="s">
        <v>963</v>
      </c>
      <c r="C403" s="479"/>
      <c r="D403" s="495"/>
      <c r="E403" s="490" t="str">
        <f t="shared" si="47"/>
        <v>Atende</v>
      </c>
      <c r="F403" s="479" t="s">
        <v>1258</v>
      </c>
      <c r="G403" s="456"/>
      <c r="H403" s="566"/>
      <c r="I403" s="345" t="s">
        <v>1613</v>
      </c>
      <c r="J403" s="54" t="s">
        <v>1956</v>
      </c>
      <c r="K403" s="54"/>
      <c r="L403" s="54"/>
      <c r="M403" s="54"/>
      <c r="N403" s="376" t="s">
        <v>1729</v>
      </c>
    </row>
    <row r="404" spans="1:14" ht="29.25" customHeight="1">
      <c r="A404" s="566"/>
      <c r="B404" s="426" t="s">
        <v>964</v>
      </c>
      <c r="C404" s="479"/>
      <c r="D404" s="495"/>
      <c r="E404" s="490" t="str">
        <f t="shared" si="47"/>
        <v>Atende</v>
      </c>
      <c r="F404" s="479" t="s">
        <v>1258</v>
      </c>
      <c r="G404" s="456"/>
      <c r="H404" s="566"/>
      <c r="I404" s="345" t="s">
        <v>1613</v>
      </c>
      <c r="J404" s="54" t="s">
        <v>1956</v>
      </c>
      <c r="K404" s="54"/>
      <c r="L404" s="54"/>
      <c r="M404" s="54"/>
      <c r="N404" s="376" t="s">
        <v>1729</v>
      </c>
    </row>
    <row r="405" spans="1:14" ht="33" customHeight="1">
      <c r="A405" s="477" t="s">
        <v>965</v>
      </c>
      <c r="B405" s="496" t="s">
        <v>966</v>
      </c>
      <c r="C405" s="479"/>
      <c r="D405" s="495"/>
      <c r="E405" s="490">
        <f t="shared" si="47"/>
        <v>0</v>
      </c>
      <c r="F405" s="421"/>
      <c r="G405" s="456">
        <f t="shared" ref="G405:G406" si="48">IF(F405="Atende",1,0)</f>
        <v>0</v>
      </c>
      <c r="H405" s="566"/>
      <c r="I405" s="345" t="s">
        <v>1614</v>
      </c>
      <c r="J405" s="54"/>
      <c r="K405" s="54"/>
      <c r="L405" s="54"/>
      <c r="M405" s="54"/>
      <c r="N405" s="376" t="s">
        <v>1729</v>
      </c>
    </row>
    <row r="406" spans="1:14" ht="57" customHeight="1">
      <c r="A406" s="565" t="s">
        <v>967</v>
      </c>
      <c r="B406" s="496" t="s">
        <v>968</v>
      </c>
      <c r="C406" s="479"/>
      <c r="D406" s="495"/>
      <c r="E406" s="490">
        <f t="shared" si="47"/>
        <v>0</v>
      </c>
      <c r="F406" s="421"/>
      <c r="G406" s="456">
        <f t="shared" si="48"/>
        <v>0</v>
      </c>
      <c r="H406" s="566"/>
      <c r="I406" s="497"/>
      <c r="J406" s="54"/>
      <c r="K406" s="54"/>
      <c r="L406" s="54"/>
      <c r="M406" s="54"/>
      <c r="N406" s="2"/>
    </row>
    <row r="407" spans="1:14" ht="37.5" customHeight="1">
      <c r="A407" s="566"/>
      <c r="B407" s="498" t="s">
        <v>969</v>
      </c>
      <c r="C407" s="479"/>
      <c r="D407" s="495"/>
      <c r="E407" s="490" t="str">
        <f t="shared" si="47"/>
        <v>Atende</v>
      </c>
      <c r="F407" s="479" t="s">
        <v>1258</v>
      </c>
      <c r="G407" s="456"/>
      <c r="H407" s="566"/>
      <c r="I407" s="360" t="s">
        <v>1730</v>
      </c>
      <c r="J407" s="54" t="s">
        <v>1956</v>
      </c>
      <c r="K407" s="54"/>
      <c r="L407" s="54"/>
      <c r="M407" s="54"/>
      <c r="N407" s="376" t="s">
        <v>1729</v>
      </c>
    </row>
    <row r="408" spans="1:14" ht="39" customHeight="1">
      <c r="A408" s="566"/>
      <c r="B408" s="384" t="s">
        <v>970</v>
      </c>
      <c r="C408" s="479"/>
      <c r="D408" s="495"/>
      <c r="E408" s="490" t="str">
        <f t="shared" si="47"/>
        <v>Atende</v>
      </c>
      <c r="F408" s="479" t="s">
        <v>1258</v>
      </c>
      <c r="G408" s="456"/>
      <c r="H408" s="566"/>
      <c r="I408" s="360" t="s">
        <v>1730</v>
      </c>
      <c r="J408" s="54" t="s">
        <v>1956</v>
      </c>
      <c r="K408" s="54"/>
      <c r="L408" s="54"/>
      <c r="M408" s="54"/>
      <c r="N408" s="376" t="s">
        <v>1729</v>
      </c>
    </row>
    <row r="409" spans="1:14" ht="37.5" customHeight="1">
      <c r="A409" s="566"/>
      <c r="B409" s="426" t="s">
        <v>971</v>
      </c>
      <c r="C409" s="479"/>
      <c r="D409" s="495"/>
      <c r="E409" s="490">
        <f t="shared" si="47"/>
        <v>0</v>
      </c>
      <c r="F409" s="479"/>
      <c r="G409" s="456"/>
      <c r="H409" s="566"/>
      <c r="I409" s="499"/>
      <c r="J409" s="54"/>
      <c r="K409" s="54"/>
      <c r="L409" s="54"/>
      <c r="M409" s="54"/>
      <c r="N409" s="2"/>
    </row>
    <row r="410" spans="1:14" ht="62.25" customHeight="1">
      <c r="A410" s="566"/>
      <c r="B410" s="426" t="s">
        <v>972</v>
      </c>
      <c r="C410" s="479"/>
      <c r="D410" s="495"/>
      <c r="E410" s="490">
        <f t="shared" si="47"/>
        <v>0</v>
      </c>
      <c r="F410" s="479"/>
      <c r="G410" s="456"/>
      <c r="H410" s="566"/>
      <c r="I410" s="497"/>
      <c r="J410" s="54"/>
      <c r="K410" s="54"/>
      <c r="L410" s="54"/>
      <c r="M410" s="54"/>
      <c r="N410" s="2"/>
    </row>
    <row r="411" spans="1:14" ht="54.75" customHeight="1">
      <c r="A411" s="566"/>
      <c r="B411" s="426" t="s">
        <v>973</v>
      </c>
      <c r="C411" s="479"/>
      <c r="D411" s="495"/>
      <c r="E411" s="490">
        <f t="shared" si="47"/>
        <v>0</v>
      </c>
      <c r="F411" s="479"/>
      <c r="G411" s="456"/>
      <c r="H411" s="566"/>
      <c r="I411" s="497"/>
      <c r="J411" s="54"/>
      <c r="K411" s="54"/>
      <c r="L411" s="54"/>
      <c r="M411" s="54"/>
      <c r="N411" s="2"/>
    </row>
    <row r="412" spans="1:14" ht="36.75" customHeight="1">
      <c r="A412" s="566"/>
      <c r="B412" s="426" t="s">
        <v>974</v>
      </c>
      <c r="C412" s="479"/>
      <c r="D412" s="495"/>
      <c r="E412" s="490" t="str">
        <f t="shared" si="47"/>
        <v>Atende</v>
      </c>
      <c r="F412" s="479" t="s">
        <v>1258</v>
      </c>
      <c r="G412" s="456"/>
      <c r="H412" s="566"/>
      <c r="I412" s="360" t="s">
        <v>1615</v>
      </c>
      <c r="J412" s="54" t="s">
        <v>1956</v>
      </c>
      <c r="K412" s="54"/>
      <c r="L412" s="54"/>
      <c r="M412" s="54"/>
      <c r="N412" s="376" t="s">
        <v>1729</v>
      </c>
    </row>
    <row r="413" spans="1:14" ht="32.25" customHeight="1">
      <c r="A413" s="566"/>
      <c r="B413" s="426" t="s">
        <v>975</v>
      </c>
      <c r="C413" s="479"/>
      <c r="D413" s="495"/>
      <c r="E413" s="490" t="str">
        <f t="shared" si="47"/>
        <v>Atende</v>
      </c>
      <c r="F413" s="479" t="s">
        <v>1258</v>
      </c>
      <c r="G413" s="456"/>
      <c r="H413" s="566"/>
      <c r="I413" s="360" t="s">
        <v>1615</v>
      </c>
      <c r="J413" s="54" t="s">
        <v>1956</v>
      </c>
      <c r="K413" s="54"/>
      <c r="L413" s="54"/>
      <c r="M413" s="54"/>
      <c r="N413" s="376" t="s">
        <v>1729</v>
      </c>
    </row>
    <row r="414" spans="1:14" ht="27.75" customHeight="1">
      <c r="A414" s="575"/>
      <c r="B414" s="426" t="s">
        <v>976</v>
      </c>
      <c r="C414" s="479"/>
      <c r="D414" s="495"/>
      <c r="E414" s="490" t="str">
        <f t="shared" si="47"/>
        <v>Atende</v>
      </c>
      <c r="F414" s="479" t="s">
        <v>1258</v>
      </c>
      <c r="G414" s="456"/>
      <c r="H414" s="575"/>
      <c r="I414" s="360" t="s">
        <v>1615</v>
      </c>
      <c r="J414" s="54" t="s">
        <v>1956</v>
      </c>
      <c r="K414" s="54"/>
      <c r="L414" s="54"/>
      <c r="M414" s="54"/>
      <c r="N414" s="376" t="s">
        <v>1729</v>
      </c>
    </row>
    <row r="415" spans="1:14" ht="27" customHeight="1">
      <c r="A415" s="460" t="s">
        <v>977</v>
      </c>
      <c r="B415" s="461" t="s">
        <v>978</v>
      </c>
      <c r="C415" s="462" t="e">
        <f>VLOOKUP($B$3,[18]QATC18!$B$2:$BN$34,17,FALSE)</f>
        <v>#N/A</v>
      </c>
      <c r="D415" s="463"/>
      <c r="E415" s="490"/>
      <c r="F415" s="462"/>
      <c r="G415" s="486">
        <f>IF(COUNTIF(F416:F419,"Não se aplica")&gt;=2,"Não se aplica",IF(COUNTIF(F416:F419,"Sem classificação")&gt;=2,"Sem classificação",IF(COUNTIF(F416:F419,"Atende")=4,4,IF(COUNTIF(F416:F419,"Atende")=3,3,IF(COUNTIF(F416:F419,"Atende")=2,2,IF(COUNTIF(F416:F419,"Atende")=1,1,0))))))</f>
        <v>3</v>
      </c>
      <c r="H415" s="465"/>
      <c r="I415" s="487"/>
      <c r="J415" s="37"/>
      <c r="K415" s="37"/>
      <c r="L415" s="37"/>
      <c r="M415" s="37"/>
      <c r="N415" s="2"/>
    </row>
    <row r="416" spans="1:14" ht="53.25" customHeight="1">
      <c r="A416" s="453" t="s">
        <v>979</v>
      </c>
      <c r="B416" s="384" t="s">
        <v>980</v>
      </c>
      <c r="C416" s="454"/>
      <c r="D416" s="455"/>
      <c r="E416" s="490"/>
      <c r="F416" s="421" t="s">
        <v>1258</v>
      </c>
      <c r="G416" s="456">
        <f t="shared" ref="G416:G419" si="49">IF(F416="Atende",1,0)</f>
        <v>1</v>
      </c>
      <c r="H416" s="572" t="s">
        <v>183</v>
      </c>
      <c r="I416" s="457" t="s">
        <v>1731</v>
      </c>
      <c r="J416" s="30" t="s">
        <v>1956</v>
      </c>
      <c r="K416" s="30"/>
      <c r="L416" s="30"/>
      <c r="M416" s="30"/>
      <c r="N416" s="376" t="s">
        <v>1733</v>
      </c>
    </row>
    <row r="417" spans="1:14" ht="36" customHeight="1">
      <c r="A417" s="453" t="s">
        <v>981</v>
      </c>
      <c r="B417" s="384" t="s">
        <v>982</v>
      </c>
      <c r="C417" s="454"/>
      <c r="D417" s="455"/>
      <c r="E417" s="490"/>
      <c r="F417" s="421"/>
      <c r="G417" s="456">
        <f t="shared" si="49"/>
        <v>0</v>
      </c>
      <c r="H417" s="566"/>
      <c r="I417" s="500"/>
      <c r="J417" s="30"/>
      <c r="K417" s="30"/>
      <c r="L417" s="30"/>
      <c r="M417" s="30"/>
      <c r="N417" s="2"/>
    </row>
    <row r="418" spans="1:14" ht="33" customHeight="1">
      <c r="A418" s="453" t="s">
        <v>983</v>
      </c>
      <c r="B418" s="384" t="s">
        <v>984</v>
      </c>
      <c r="C418" s="454"/>
      <c r="D418" s="455"/>
      <c r="E418" s="492"/>
      <c r="F418" s="421" t="s">
        <v>1258</v>
      </c>
      <c r="G418" s="456">
        <f t="shared" si="49"/>
        <v>1</v>
      </c>
      <c r="H418" s="566"/>
      <c r="I418" s="457" t="s">
        <v>1732</v>
      </c>
      <c r="J418" s="30" t="s">
        <v>1956</v>
      </c>
      <c r="K418" s="30"/>
      <c r="L418" s="30"/>
      <c r="M418" s="30"/>
      <c r="N418" s="376" t="s">
        <v>1733</v>
      </c>
    </row>
    <row r="419" spans="1:14" ht="31.5" customHeight="1">
      <c r="A419" s="453" t="s">
        <v>985</v>
      </c>
      <c r="B419" s="154" t="s">
        <v>986</v>
      </c>
      <c r="C419" s="454"/>
      <c r="D419" s="455"/>
      <c r="E419" s="455"/>
      <c r="F419" s="421" t="s">
        <v>1258</v>
      </c>
      <c r="G419" s="456">
        <f t="shared" si="49"/>
        <v>1</v>
      </c>
      <c r="H419" s="575"/>
      <c r="I419" s="541" t="s">
        <v>1952</v>
      </c>
      <c r="J419" s="30" t="s">
        <v>1956</v>
      </c>
      <c r="K419" s="30"/>
      <c r="L419" s="30"/>
      <c r="M419" s="30"/>
      <c r="N419" s="2"/>
    </row>
    <row r="420" spans="1:14" ht="26.25" customHeight="1">
      <c r="A420" s="460" t="s">
        <v>987</v>
      </c>
      <c r="B420" s="461" t="s">
        <v>988</v>
      </c>
      <c r="C420" s="462" t="e">
        <f>VLOOKUP($B$3,[18]QATC18!$B$2:$BN$34,38,FALSE)</f>
        <v>#N/A</v>
      </c>
      <c r="D420" s="463"/>
      <c r="E420" s="463"/>
      <c r="F420" s="465"/>
      <c r="G420" s="486">
        <f>IF(COUNTIF(F421:F426,"Não se aplica")&gt;=2,"Não se aplica",IF(COUNTIF(F421:F426,"Sem classificação")&gt;=2,"Sem classificação",IF(COUNTIF(F421:F426,"Atende")=6,4,IF(COUNTIF(F421:F426,"Atende")=5,3,IF(COUNTIF(F421:F426,"Atende")&gt;=3,2,IF(COUNTIF(F421:F426,"Atende")&gt;=1,1,0))))))</f>
        <v>0</v>
      </c>
      <c r="H420" s="465"/>
      <c r="I420" s="487"/>
      <c r="J420" s="37"/>
      <c r="K420" s="37"/>
      <c r="L420" s="37"/>
      <c r="M420" s="37"/>
      <c r="N420" s="2"/>
    </row>
    <row r="421" spans="1:14" ht="52.5" customHeight="1">
      <c r="A421" s="453" t="s">
        <v>989</v>
      </c>
      <c r="B421" s="384" t="s">
        <v>990</v>
      </c>
      <c r="C421" s="454"/>
      <c r="D421" s="455"/>
      <c r="E421" s="455"/>
      <c r="F421" s="421"/>
      <c r="G421" s="456">
        <f t="shared" ref="G421:G426" si="50">IF(F421="Atende",1,0)</f>
        <v>0</v>
      </c>
      <c r="H421" s="579" t="s">
        <v>991</v>
      </c>
      <c r="I421" s="384"/>
      <c r="J421" s="30"/>
      <c r="K421" s="30"/>
      <c r="L421" s="30"/>
      <c r="M421" s="30"/>
      <c r="N421" s="2"/>
    </row>
    <row r="422" spans="1:14" ht="40.5" customHeight="1">
      <c r="A422" s="453" t="s">
        <v>992</v>
      </c>
      <c r="B422" s="384" t="s">
        <v>993</v>
      </c>
      <c r="C422" s="454"/>
      <c r="D422" s="455"/>
      <c r="E422" s="455"/>
      <c r="F422" s="372"/>
      <c r="G422" s="456">
        <f t="shared" si="50"/>
        <v>0</v>
      </c>
      <c r="H422" s="566"/>
      <c r="I422" s="501"/>
      <c r="J422" s="30"/>
      <c r="K422" s="30"/>
      <c r="L422" s="30"/>
      <c r="M422" s="30"/>
      <c r="N422" s="2"/>
    </row>
    <row r="423" spans="1:14" ht="36" customHeight="1">
      <c r="A423" s="453" t="s">
        <v>994</v>
      </c>
      <c r="B423" s="154" t="s">
        <v>995</v>
      </c>
      <c r="C423" s="454"/>
      <c r="D423" s="455"/>
      <c r="E423" s="455"/>
      <c r="F423" s="372"/>
      <c r="G423" s="456">
        <f t="shared" si="50"/>
        <v>0</v>
      </c>
      <c r="H423" s="566"/>
      <c r="I423" s="501"/>
      <c r="J423" s="30"/>
      <c r="K423" s="30"/>
      <c r="L423" s="30"/>
      <c r="M423" s="30"/>
      <c r="N423" s="2"/>
    </row>
    <row r="424" spans="1:14" ht="30" customHeight="1">
      <c r="A424" s="453" t="s">
        <v>996</v>
      </c>
      <c r="B424" s="384" t="s">
        <v>997</v>
      </c>
      <c r="C424" s="454"/>
      <c r="D424" s="455"/>
      <c r="E424" s="455"/>
      <c r="F424" s="372"/>
      <c r="G424" s="456">
        <f t="shared" si="50"/>
        <v>0</v>
      </c>
      <c r="H424" s="566"/>
      <c r="I424" s="501"/>
      <c r="J424" s="30"/>
      <c r="K424" s="30"/>
      <c r="L424" s="30"/>
      <c r="M424" s="30"/>
      <c r="N424" s="2"/>
    </row>
    <row r="425" spans="1:14" ht="39" customHeight="1">
      <c r="A425" s="453" t="s">
        <v>998</v>
      </c>
      <c r="B425" s="384" t="s">
        <v>999</v>
      </c>
      <c r="C425" s="454"/>
      <c r="D425" s="455"/>
      <c r="E425" s="455"/>
      <c r="F425" s="421"/>
      <c r="G425" s="456">
        <f t="shared" si="50"/>
        <v>0</v>
      </c>
      <c r="H425" s="566"/>
      <c r="I425" s="384"/>
      <c r="J425" s="30"/>
      <c r="K425" s="30"/>
      <c r="L425" s="30"/>
      <c r="M425" s="30"/>
      <c r="N425" s="2"/>
    </row>
    <row r="426" spans="1:14" ht="36.75" customHeight="1">
      <c r="A426" s="453" t="s">
        <v>1000</v>
      </c>
      <c r="B426" s="384" t="s">
        <v>1001</v>
      </c>
      <c r="C426" s="454"/>
      <c r="D426" s="455"/>
      <c r="E426" s="455"/>
      <c r="F426" s="421"/>
      <c r="G426" s="456">
        <f t="shared" si="50"/>
        <v>0</v>
      </c>
      <c r="H426" s="566"/>
      <c r="I426" s="384"/>
      <c r="J426" s="30"/>
      <c r="K426" s="30"/>
      <c r="L426" s="30"/>
      <c r="M426" s="30"/>
      <c r="N426" s="2"/>
    </row>
    <row r="427" spans="1:14" ht="24.75" customHeight="1">
      <c r="A427" s="460" t="s">
        <v>1002</v>
      </c>
      <c r="B427" s="461" t="s">
        <v>1003</v>
      </c>
      <c r="C427" s="462" t="e">
        <f>VLOOKUP($B$3,[18]QATC18!$B$2:$BN$34,53,FALSE)</f>
        <v>#N/A</v>
      </c>
      <c r="D427" s="463"/>
      <c r="E427" s="463"/>
      <c r="F427" s="465"/>
      <c r="G427" s="486">
        <f>IF(COUNTIF(F428:F431,"Não se aplica")&gt;=2,"Não se aplica",IF(COUNTIF(F428:F431,"Sem classificação")&gt;=2,"Sem classificação",IF(COUNTIF(F428:F431,"Atende")=4,4,IF(COUNTIF(F428:F431,"Atende")=3,3,IF(COUNTIF(F428:F431,"Atende")=2,2,IF(COUNTIF(F428:F431,"Atende")=1,1,0))))))</f>
        <v>4</v>
      </c>
      <c r="H427" s="465"/>
      <c r="I427" s="502"/>
      <c r="J427" s="37"/>
      <c r="K427" s="37"/>
      <c r="L427" s="37"/>
      <c r="M427" s="37"/>
      <c r="N427" s="2"/>
    </row>
    <row r="428" spans="1:14" ht="36" customHeight="1">
      <c r="A428" s="453" t="s">
        <v>1004</v>
      </c>
      <c r="B428" s="384" t="s">
        <v>1005</v>
      </c>
      <c r="C428" s="454"/>
      <c r="D428" s="455"/>
      <c r="E428" s="455"/>
      <c r="F428" s="421" t="s">
        <v>1258</v>
      </c>
      <c r="G428" s="456">
        <f t="shared" ref="G428:G431" si="51">IF(F428="Atende",1,0)</f>
        <v>1</v>
      </c>
      <c r="H428" s="579" t="s">
        <v>183</v>
      </c>
      <c r="I428" s="358" t="s">
        <v>1616</v>
      </c>
      <c r="J428" s="30" t="s">
        <v>1956</v>
      </c>
      <c r="K428" s="30"/>
      <c r="L428" s="30"/>
      <c r="M428" s="30"/>
      <c r="N428" s="2"/>
    </row>
    <row r="429" spans="1:14" ht="31.5" customHeight="1">
      <c r="A429" s="453" t="s">
        <v>1006</v>
      </c>
      <c r="B429" s="384" t="s">
        <v>1007</v>
      </c>
      <c r="C429" s="454"/>
      <c r="D429" s="455"/>
      <c r="E429" s="455"/>
      <c r="F429" s="372" t="s">
        <v>1258</v>
      </c>
      <c r="G429" s="456">
        <f t="shared" si="51"/>
        <v>1</v>
      </c>
      <c r="H429" s="566"/>
      <c r="I429" s="503"/>
      <c r="J429" s="30" t="s">
        <v>1956</v>
      </c>
      <c r="K429" s="30"/>
      <c r="L429" s="30"/>
      <c r="M429" s="30"/>
      <c r="N429" s="2"/>
    </row>
    <row r="430" spans="1:14" ht="31.5" customHeight="1">
      <c r="A430" s="453" t="s">
        <v>1008</v>
      </c>
      <c r="B430" s="384" t="s">
        <v>1009</v>
      </c>
      <c r="C430" s="454"/>
      <c r="D430" s="455"/>
      <c r="E430" s="455"/>
      <c r="F430" s="372" t="s">
        <v>1258</v>
      </c>
      <c r="G430" s="456">
        <f t="shared" si="51"/>
        <v>1</v>
      </c>
      <c r="H430" s="566"/>
      <c r="I430" s="503"/>
      <c r="J430" s="30" t="s">
        <v>1956</v>
      </c>
      <c r="K430" s="30"/>
      <c r="L430" s="30"/>
      <c r="M430" s="30"/>
      <c r="N430" s="2"/>
    </row>
    <row r="431" spans="1:14" ht="31.5" customHeight="1">
      <c r="A431" s="453" t="s">
        <v>1010</v>
      </c>
      <c r="B431" s="384" t="s">
        <v>1011</v>
      </c>
      <c r="C431" s="454"/>
      <c r="D431" s="471"/>
      <c r="E431" s="471"/>
      <c r="F431" s="421" t="s">
        <v>1258</v>
      </c>
      <c r="G431" s="456">
        <f t="shared" si="51"/>
        <v>1</v>
      </c>
      <c r="H431" s="566"/>
      <c r="I431" s="366" t="s">
        <v>1617</v>
      </c>
      <c r="J431" s="30" t="s">
        <v>1956</v>
      </c>
      <c r="K431" s="30"/>
      <c r="L431" s="30"/>
      <c r="M431" s="30"/>
      <c r="N431" s="2"/>
    </row>
    <row r="432" spans="1:14" ht="22.5" customHeight="1">
      <c r="A432" s="468" t="s">
        <v>251</v>
      </c>
      <c r="B432" s="469" t="s">
        <v>1012</v>
      </c>
      <c r="C432" s="504" t="s">
        <v>680</v>
      </c>
      <c r="D432" s="471"/>
      <c r="E432" s="472">
        <f>SUM(G434,G444,G449)</f>
        <v>8</v>
      </c>
      <c r="F432" s="473"/>
      <c r="G432" s="505" t="str">
        <f>IF(H432&gt;=2,"Não se aplica",IF(I432&gt;=2,"Sem classificação",IF(F432=4,IF(E432&lt;=2,0,IF(E432&lt;=6,1,IF(E432&lt;=10,2,IF(E432&lt;=14,3,4)))),IF(F432=3,ROUND(AVERAGE(G434,G444,G449),0),IF(F432=2,ROUNDDOWN(AVERAGE(G434,G444,G449),0),"Não se aplica")))))</f>
        <v>Não se aplica</v>
      </c>
      <c r="H432" s="475">
        <f>COUNTIF(G434:G449,"Não se aplica")</f>
        <v>0</v>
      </c>
      <c r="I432" s="476"/>
      <c r="J432" s="22"/>
      <c r="K432" s="22"/>
      <c r="L432" s="22"/>
      <c r="M432" s="22"/>
      <c r="N432" s="2"/>
    </row>
    <row r="433" spans="1:14" ht="19.5" customHeight="1">
      <c r="A433" s="453" t="s">
        <v>18</v>
      </c>
      <c r="B433" s="382" t="s">
        <v>19</v>
      </c>
      <c r="C433" s="421"/>
      <c r="D433" s="492"/>
      <c r="E433" s="492"/>
      <c r="F433" s="506"/>
      <c r="G433" s="506"/>
      <c r="H433" s="507"/>
      <c r="I433" s="444"/>
      <c r="J433" s="30"/>
      <c r="K433" s="30"/>
      <c r="L433" s="30"/>
      <c r="M433" s="30"/>
      <c r="N433" s="2"/>
    </row>
    <row r="434" spans="1:14" ht="25.5" customHeight="1">
      <c r="A434" s="464" t="s">
        <v>1013</v>
      </c>
      <c r="B434" s="461" t="s">
        <v>1014</v>
      </c>
      <c r="C434" s="462" t="e">
        <f>VLOOKUP($B$3,[19]QATC19!$B$2:$AU$34,2,FALSE)</f>
        <v>#N/A</v>
      </c>
      <c r="D434" s="463"/>
      <c r="E434" s="463"/>
      <c r="F434" s="462"/>
      <c r="G434" s="508">
        <f>IF(COUNTIF(F435:F443,"Não se aplica")&gt;=2,"Não se aplica",IF(COUNTIF(F435:F443,"Sem classificação")&gt;=2,"Sem classificação",IF(COUNTIF(F435:F443,"Atende")=9,4,IF(AND(COUNTIF(F435:F443,"Atende")&gt;=7,F439="Atende",F441="Atende",F442="Atende"),3,IF(COUNTIF(F435:F443,"Atende")&gt;=5,2,IF(COUNTIF(F435:F443,"Atende")&gt;=3,1,0))))))</f>
        <v>2</v>
      </c>
      <c r="H434" s="462"/>
      <c r="I434" s="465"/>
      <c r="J434" s="37"/>
      <c r="K434" s="37"/>
      <c r="L434" s="37"/>
      <c r="M434" s="37"/>
      <c r="N434" s="2"/>
    </row>
    <row r="435" spans="1:14" ht="35.25" customHeight="1">
      <c r="A435" s="453" t="s">
        <v>1015</v>
      </c>
      <c r="B435" s="384" t="s">
        <v>1016</v>
      </c>
      <c r="C435" s="454"/>
      <c r="D435" s="455"/>
      <c r="E435" s="455"/>
      <c r="F435" s="421" t="s">
        <v>1258</v>
      </c>
      <c r="G435" s="456">
        <f t="shared" ref="G435:G443" si="52">IF(F435="Atende",1,0)</f>
        <v>1</v>
      </c>
      <c r="H435" s="572" t="s">
        <v>1017</v>
      </c>
      <c r="I435" s="366" t="s">
        <v>1615</v>
      </c>
      <c r="J435" s="30" t="s">
        <v>1956</v>
      </c>
      <c r="K435" s="30"/>
      <c r="L435" s="30"/>
      <c r="M435" s="30"/>
      <c r="N435" s="376" t="s">
        <v>1734</v>
      </c>
    </row>
    <row r="436" spans="1:14" ht="33" customHeight="1">
      <c r="A436" s="453" t="s">
        <v>1018</v>
      </c>
      <c r="B436" s="384" t="s">
        <v>1019</v>
      </c>
      <c r="C436" s="454"/>
      <c r="D436" s="455"/>
      <c r="E436" s="455"/>
      <c r="F436" s="421" t="s">
        <v>1258</v>
      </c>
      <c r="G436" s="456">
        <f t="shared" si="52"/>
        <v>1</v>
      </c>
      <c r="H436" s="566"/>
      <c r="I436" s="366" t="s">
        <v>1615</v>
      </c>
      <c r="J436" s="30" t="s">
        <v>1956</v>
      </c>
      <c r="K436" s="30"/>
      <c r="L436" s="30"/>
      <c r="M436" s="30"/>
      <c r="N436" s="376" t="s">
        <v>1734</v>
      </c>
    </row>
    <row r="437" spans="1:14" ht="30.75" customHeight="1">
      <c r="A437" s="453" t="s">
        <v>1020</v>
      </c>
      <c r="B437" s="384" t="s">
        <v>1021</v>
      </c>
      <c r="C437" s="454"/>
      <c r="D437" s="455"/>
      <c r="E437" s="455"/>
      <c r="F437" s="421" t="s">
        <v>1258</v>
      </c>
      <c r="G437" s="456">
        <f t="shared" si="52"/>
        <v>1</v>
      </c>
      <c r="H437" s="566"/>
      <c r="I437" s="366" t="s">
        <v>1615</v>
      </c>
      <c r="J437" s="30"/>
      <c r="K437" s="30"/>
      <c r="L437" s="30"/>
      <c r="M437" s="30"/>
      <c r="N437" s="376" t="s">
        <v>1734</v>
      </c>
    </row>
    <row r="438" spans="1:14" ht="31.5" customHeight="1">
      <c r="A438" s="453" t="s">
        <v>1022</v>
      </c>
      <c r="B438" s="384" t="s">
        <v>1023</v>
      </c>
      <c r="C438" s="454"/>
      <c r="D438" s="455"/>
      <c r="E438" s="455"/>
      <c r="F438" s="421"/>
      <c r="G438" s="456">
        <f t="shared" si="52"/>
        <v>0</v>
      </c>
      <c r="H438" s="566"/>
      <c r="I438" s="366"/>
      <c r="J438" s="30"/>
      <c r="K438" s="30"/>
      <c r="L438" s="30"/>
      <c r="M438" s="30"/>
      <c r="N438" s="2"/>
    </row>
    <row r="439" spans="1:14" ht="31.5" customHeight="1">
      <c r="A439" s="453" t="s">
        <v>1024</v>
      </c>
      <c r="B439" s="384" t="s">
        <v>1025</v>
      </c>
      <c r="C439" s="454"/>
      <c r="D439" s="455"/>
      <c r="E439" s="455"/>
      <c r="F439" s="421"/>
      <c r="G439" s="456">
        <f t="shared" si="52"/>
        <v>0</v>
      </c>
      <c r="H439" s="566"/>
      <c r="I439" s="509"/>
      <c r="J439" s="30"/>
      <c r="K439" s="30"/>
      <c r="L439" s="30"/>
      <c r="M439" s="30"/>
      <c r="N439" s="2"/>
    </row>
    <row r="440" spans="1:14" ht="24.75" customHeight="1">
      <c r="A440" s="453" t="s">
        <v>1026</v>
      </c>
      <c r="B440" s="510" t="s">
        <v>1027</v>
      </c>
      <c r="C440" s="511"/>
      <c r="D440" s="512"/>
      <c r="E440" s="512"/>
      <c r="F440" s="421"/>
      <c r="G440" s="456">
        <f t="shared" si="52"/>
        <v>0</v>
      </c>
      <c r="H440" s="566"/>
      <c r="I440" s="366"/>
      <c r="J440" s="39"/>
      <c r="K440" s="39"/>
      <c r="L440" s="39"/>
      <c r="M440" s="39"/>
      <c r="N440" s="2"/>
    </row>
    <row r="441" spans="1:14" ht="29.25" customHeight="1">
      <c r="A441" s="453" t="s">
        <v>1028</v>
      </c>
      <c r="B441" s="384" t="s">
        <v>1029</v>
      </c>
      <c r="C441" s="513"/>
      <c r="D441" s="455"/>
      <c r="E441" s="455"/>
      <c r="F441" s="421" t="s">
        <v>1258</v>
      </c>
      <c r="G441" s="456">
        <f t="shared" si="52"/>
        <v>1</v>
      </c>
      <c r="H441" s="566"/>
      <c r="I441" s="366" t="s">
        <v>1615</v>
      </c>
      <c r="J441" s="30" t="s">
        <v>1956</v>
      </c>
      <c r="K441" s="30"/>
      <c r="L441" s="30"/>
      <c r="M441" s="30"/>
      <c r="N441" s="376" t="s">
        <v>1734</v>
      </c>
    </row>
    <row r="442" spans="1:14" ht="36" customHeight="1">
      <c r="A442" s="453" t="s">
        <v>1030</v>
      </c>
      <c r="B442" s="426" t="s">
        <v>1031</v>
      </c>
      <c r="C442" s="454"/>
      <c r="D442" s="455"/>
      <c r="E442" s="455"/>
      <c r="F442" s="421" t="s">
        <v>1258</v>
      </c>
      <c r="G442" s="456">
        <f t="shared" si="52"/>
        <v>1</v>
      </c>
      <c r="H442" s="566"/>
      <c r="I442" s="366" t="s">
        <v>1615</v>
      </c>
      <c r="J442" s="30" t="s">
        <v>1956</v>
      </c>
      <c r="K442" s="30"/>
      <c r="L442" s="30"/>
      <c r="M442" s="30"/>
      <c r="N442" s="376" t="s">
        <v>1734</v>
      </c>
    </row>
    <row r="443" spans="1:14" ht="34.5" customHeight="1">
      <c r="A443" s="453" t="s">
        <v>1032</v>
      </c>
      <c r="B443" s="384" t="s">
        <v>1033</v>
      </c>
      <c r="C443" s="454"/>
      <c r="D443" s="455"/>
      <c r="E443" s="455"/>
      <c r="F443" s="421" t="s">
        <v>1258</v>
      </c>
      <c r="G443" s="456">
        <f t="shared" si="52"/>
        <v>1</v>
      </c>
      <c r="H443" s="566"/>
      <c r="I443" s="366" t="s">
        <v>1615</v>
      </c>
      <c r="J443" s="30" t="s">
        <v>1956</v>
      </c>
      <c r="K443" s="30"/>
      <c r="L443" s="30"/>
      <c r="M443" s="30"/>
      <c r="N443" s="376" t="s">
        <v>1734</v>
      </c>
    </row>
    <row r="444" spans="1:14" ht="23.25" customHeight="1">
      <c r="A444" s="460" t="s">
        <v>1034</v>
      </c>
      <c r="B444" s="461" t="s">
        <v>1035</v>
      </c>
      <c r="C444" s="462" t="e">
        <f>VLOOKUP($B$3,[19]QATC19!$B$2:$AU$34,13,FALSE)</f>
        <v>#N/A</v>
      </c>
      <c r="D444" s="463"/>
      <c r="E444" s="463"/>
      <c r="F444" s="465"/>
      <c r="G444" s="486">
        <f>IF(COUNTIF(F445:F448,"Não se aplica")&gt;=2,"Não se aplica",IF(COUNTIF(F445:F448,"Sem classificação")&gt;=2,"Sem classificação",IF(COUNTIF(F445:F448,"Atende")=4,4,IF(COUNTIF(F445:F448,"Atende")=3,3,IF(COUNTIF(F445:F448,"Atende")=2,2,IF(COUNTIF(F445:F448,"Atende")=1,1,0))))))</f>
        <v>3</v>
      </c>
      <c r="H444" s="465"/>
      <c r="I444" s="487"/>
      <c r="J444" s="37"/>
      <c r="K444" s="37"/>
      <c r="L444" s="37"/>
      <c r="M444" s="37"/>
      <c r="N444" s="2"/>
    </row>
    <row r="445" spans="1:14" ht="70.5" customHeight="1">
      <c r="A445" s="453" t="s">
        <v>1036</v>
      </c>
      <c r="B445" s="384" t="s">
        <v>1037</v>
      </c>
      <c r="C445" s="454"/>
      <c r="D445" s="455"/>
      <c r="E445" s="455"/>
      <c r="F445" s="421" t="s">
        <v>1258</v>
      </c>
      <c r="G445" s="456">
        <f t="shared" ref="G445:G448" si="53">IF(F445="Atende",1,0)</f>
        <v>1</v>
      </c>
      <c r="H445" s="579" t="s">
        <v>1038</v>
      </c>
      <c r="I445" s="366" t="s">
        <v>1615</v>
      </c>
      <c r="J445" s="30" t="s">
        <v>1956</v>
      </c>
      <c r="K445" s="30"/>
      <c r="L445" s="30"/>
      <c r="M445" s="30"/>
      <c r="N445" s="376" t="s">
        <v>1735</v>
      </c>
    </row>
    <row r="446" spans="1:14" ht="36.75" customHeight="1">
      <c r="A446" s="453" t="s">
        <v>1039</v>
      </c>
      <c r="B446" s="384" t="s">
        <v>1040</v>
      </c>
      <c r="C446" s="454"/>
      <c r="D446" s="455"/>
      <c r="E446" s="455"/>
      <c r="F446" s="421" t="s">
        <v>1258</v>
      </c>
      <c r="G446" s="456">
        <f t="shared" si="53"/>
        <v>1</v>
      </c>
      <c r="H446" s="566"/>
      <c r="I446" s="366" t="s">
        <v>1615</v>
      </c>
      <c r="J446" s="30" t="s">
        <v>1956</v>
      </c>
      <c r="K446" s="30"/>
      <c r="L446" s="30"/>
      <c r="M446" s="30"/>
      <c r="N446" s="376" t="s">
        <v>1735</v>
      </c>
    </row>
    <row r="447" spans="1:14" ht="69" customHeight="1">
      <c r="A447" s="453" t="s">
        <v>1041</v>
      </c>
      <c r="B447" s="384" t="s">
        <v>1042</v>
      </c>
      <c r="C447" s="454"/>
      <c r="D447" s="455"/>
      <c r="E447" s="455"/>
      <c r="F447" s="421"/>
      <c r="G447" s="456">
        <f t="shared" si="53"/>
        <v>0</v>
      </c>
      <c r="H447" s="566"/>
      <c r="I447" s="358"/>
      <c r="J447" s="30"/>
      <c r="K447" s="30"/>
      <c r="L447" s="30"/>
      <c r="M447" s="30"/>
      <c r="N447" s="2"/>
    </row>
    <row r="448" spans="1:14" ht="58.5" customHeight="1">
      <c r="A448" s="453" t="s">
        <v>1043</v>
      </c>
      <c r="B448" s="384" t="s">
        <v>1044</v>
      </c>
      <c r="C448" s="454"/>
      <c r="D448" s="455"/>
      <c r="E448" s="455"/>
      <c r="F448" s="421" t="s">
        <v>1258</v>
      </c>
      <c r="G448" s="456">
        <f t="shared" si="53"/>
        <v>1</v>
      </c>
      <c r="H448" s="566"/>
      <c r="I448" s="366" t="s">
        <v>1615</v>
      </c>
      <c r="J448" s="30" t="s">
        <v>1956</v>
      </c>
      <c r="K448" s="30"/>
      <c r="L448" s="30"/>
      <c r="M448" s="30"/>
      <c r="N448" s="376" t="s">
        <v>1735</v>
      </c>
    </row>
    <row r="449" spans="1:14" ht="27.75" customHeight="1">
      <c r="A449" s="460" t="s">
        <v>1045</v>
      </c>
      <c r="B449" s="461" t="s">
        <v>1046</v>
      </c>
      <c r="C449" s="462" t="e">
        <f>VLOOKUP($B$3,[19]QATC19!$B$2:$AU$34,22,FALSE)</f>
        <v>#N/A</v>
      </c>
      <c r="D449" s="463"/>
      <c r="E449" s="463"/>
      <c r="F449" s="462"/>
      <c r="G449" s="508">
        <f>IF(COUNTIF(F450:F457,"Não se aplica")&gt;=2,"Não se aplica",IF(COUNTIF(F450:F457,"Sem classificação")&gt;=2,"Sem classificação",IF(COUNTIF(F450:F457,"Atende")=8,4,IF(COUNTIF(F450:F457,"Atende")&gt;=6,3,IF(COUNTIF(F450:F457,"Atende")&gt;=4,2,IF(COUNTIF(F450:F457,"Atende")&gt;=2,1,0))))))</f>
        <v>3</v>
      </c>
      <c r="H449" s="465"/>
      <c r="I449" s="465"/>
      <c r="J449" s="37"/>
      <c r="K449" s="37"/>
      <c r="L449" s="37"/>
      <c r="M449" s="37"/>
      <c r="N449" s="2"/>
    </row>
    <row r="450" spans="1:14" ht="114.75" customHeight="1">
      <c r="A450" s="453" t="s">
        <v>1047</v>
      </c>
      <c r="B450" s="384" t="s">
        <v>1048</v>
      </c>
      <c r="C450" s="454"/>
      <c r="D450" s="455"/>
      <c r="E450" s="455"/>
      <c r="F450" s="421" t="s">
        <v>1258</v>
      </c>
      <c r="G450" s="456">
        <f>IF(F450="Atende",1,0)</f>
        <v>1</v>
      </c>
      <c r="H450" s="565" t="s">
        <v>1049</v>
      </c>
      <c r="I450" s="366" t="s">
        <v>1615</v>
      </c>
      <c r="J450" s="30" t="s">
        <v>1956</v>
      </c>
      <c r="K450" s="30"/>
      <c r="L450" s="30"/>
      <c r="M450" s="30"/>
      <c r="N450" s="376" t="s">
        <v>1736</v>
      </c>
    </row>
    <row r="451" spans="1:14" ht="27" customHeight="1">
      <c r="A451" s="453" t="s">
        <v>1050</v>
      </c>
      <c r="B451" s="384" t="s">
        <v>1051</v>
      </c>
      <c r="C451" s="454"/>
      <c r="D451" s="455"/>
      <c r="E451" s="455"/>
      <c r="F451" s="421" t="s">
        <v>1258</v>
      </c>
      <c r="G451" s="456">
        <f t="shared" ref="G451:G457" si="54">IF(F451="Atende",1,0)</f>
        <v>1</v>
      </c>
      <c r="H451" s="566"/>
      <c r="I451" s="366" t="s">
        <v>1615</v>
      </c>
      <c r="J451" s="30" t="s">
        <v>1956</v>
      </c>
      <c r="K451" s="30"/>
      <c r="L451" s="30"/>
      <c r="M451" s="30"/>
      <c r="N451" s="376" t="s">
        <v>1736</v>
      </c>
    </row>
    <row r="452" spans="1:14" ht="36" customHeight="1">
      <c r="A452" s="453" t="s">
        <v>1052</v>
      </c>
      <c r="B452" s="384" t="s">
        <v>1053</v>
      </c>
      <c r="C452" s="454"/>
      <c r="D452" s="455"/>
      <c r="E452" s="455"/>
      <c r="F452" s="421" t="s">
        <v>1258</v>
      </c>
      <c r="G452" s="456">
        <f t="shared" si="54"/>
        <v>1</v>
      </c>
      <c r="H452" s="566"/>
      <c r="I452" s="366" t="s">
        <v>1618</v>
      </c>
      <c r="J452" s="30" t="s">
        <v>1956</v>
      </c>
      <c r="K452" s="30"/>
      <c r="L452" s="30"/>
      <c r="M452" s="30"/>
      <c r="N452" s="376" t="s">
        <v>1736</v>
      </c>
    </row>
    <row r="453" spans="1:14" ht="39" customHeight="1">
      <c r="A453" s="453" t="s">
        <v>1054</v>
      </c>
      <c r="B453" s="384" t="s">
        <v>1055</v>
      </c>
      <c r="C453" s="454"/>
      <c r="D453" s="455"/>
      <c r="E453" s="455"/>
      <c r="F453" s="372"/>
      <c r="G453" s="456">
        <f t="shared" si="54"/>
        <v>0</v>
      </c>
      <c r="H453" s="566"/>
      <c r="I453" s="501"/>
      <c r="J453" s="30"/>
      <c r="K453" s="30"/>
      <c r="L453" s="30"/>
      <c r="M453" s="30"/>
      <c r="N453" s="2"/>
    </row>
    <row r="454" spans="1:14" ht="86.25" customHeight="1">
      <c r="A454" s="453" t="s">
        <v>1056</v>
      </c>
      <c r="B454" s="384" t="s">
        <v>1057</v>
      </c>
      <c r="C454" s="454"/>
      <c r="D454" s="455"/>
      <c r="E454" s="455"/>
      <c r="F454" s="372"/>
      <c r="G454" s="456">
        <f t="shared" si="54"/>
        <v>0</v>
      </c>
      <c r="H454" s="566"/>
      <c r="I454" s="501"/>
      <c r="J454" s="30"/>
      <c r="K454" s="30"/>
      <c r="L454" s="30"/>
      <c r="M454" s="30"/>
      <c r="N454" s="2"/>
    </row>
    <row r="455" spans="1:14" ht="63" customHeight="1">
      <c r="A455" s="453" t="s">
        <v>1058</v>
      </c>
      <c r="B455" s="384" t="s">
        <v>1059</v>
      </c>
      <c r="C455" s="454"/>
      <c r="D455" s="455"/>
      <c r="E455" s="455"/>
      <c r="F455" s="421" t="s">
        <v>1258</v>
      </c>
      <c r="G455" s="456">
        <f t="shared" si="54"/>
        <v>1</v>
      </c>
      <c r="H455" s="566"/>
      <c r="I455" s="366" t="s">
        <v>1615</v>
      </c>
      <c r="J455" s="30" t="s">
        <v>1956</v>
      </c>
      <c r="K455" s="30"/>
      <c r="L455" s="30"/>
      <c r="M455" s="30"/>
      <c r="N455" s="376" t="s">
        <v>1736</v>
      </c>
    </row>
    <row r="456" spans="1:14" ht="162" customHeight="1">
      <c r="A456" s="453" t="s">
        <v>1060</v>
      </c>
      <c r="B456" s="384" t="s">
        <v>1061</v>
      </c>
      <c r="C456" s="454"/>
      <c r="D456" s="455"/>
      <c r="E456" s="455"/>
      <c r="F456" s="421" t="s">
        <v>1258</v>
      </c>
      <c r="G456" s="456">
        <f t="shared" si="54"/>
        <v>1</v>
      </c>
      <c r="H456" s="566"/>
      <c r="I456" s="366" t="s">
        <v>1615</v>
      </c>
      <c r="J456" s="30" t="s">
        <v>1956</v>
      </c>
      <c r="K456" s="30"/>
      <c r="L456" s="30"/>
      <c r="M456" s="30"/>
      <c r="N456" s="376" t="s">
        <v>1736</v>
      </c>
    </row>
    <row r="457" spans="1:14" ht="54.75" customHeight="1">
      <c r="A457" s="453" t="s">
        <v>1062</v>
      </c>
      <c r="B457" s="384" t="s">
        <v>1063</v>
      </c>
      <c r="C457" s="454"/>
      <c r="D457" s="455"/>
      <c r="E457" s="455"/>
      <c r="F457" s="372" t="s">
        <v>1258</v>
      </c>
      <c r="G457" s="456">
        <f t="shared" si="54"/>
        <v>1</v>
      </c>
      <c r="H457" s="566"/>
      <c r="I457" s="366" t="s">
        <v>1615</v>
      </c>
      <c r="J457" s="30" t="s">
        <v>1956</v>
      </c>
      <c r="K457" s="30"/>
      <c r="L457" s="30"/>
      <c r="M457" s="30"/>
      <c r="N457" s="376" t="s">
        <v>1736</v>
      </c>
    </row>
    <row r="458" spans="1:14" ht="35.25" customHeight="1">
      <c r="A458" s="468" t="s">
        <v>256</v>
      </c>
      <c r="B458" s="514" t="s">
        <v>1064</v>
      </c>
      <c r="C458" s="473" t="s">
        <v>1065</v>
      </c>
      <c r="D458" s="471"/>
      <c r="E458" s="472">
        <f>SUM(G460,G477,G482,G488)</f>
        <v>9</v>
      </c>
      <c r="F458" s="470"/>
      <c r="G458" s="505" t="str">
        <f>IF(H458&gt;=2,"Não se aplica",IF(I458&gt;=2,"Sem classificação",IF(F458=4,IF(E458&lt;=2,0,IF(E458&lt;=6,1,IF(E458&lt;=10,2,IF(E458&lt;=14,3,4)))),IF(F458=3,ROUND(AVERAGE(G460,G477,G482,G488),0),IF(F458=2,ROUNDDOWN(AVERAGE(G460,G477,G482,G488),0),"Não se aplica")))))</f>
        <v>Não se aplica</v>
      </c>
      <c r="H458" s="475">
        <f>COUNTIF(G460:G488,"Não se aplica")</f>
        <v>0</v>
      </c>
      <c r="I458" s="476"/>
      <c r="J458" s="22"/>
      <c r="K458" s="22"/>
      <c r="L458" s="22"/>
      <c r="M458" s="22"/>
      <c r="N458" s="2"/>
    </row>
    <row r="459" spans="1:14" ht="25.5" customHeight="1">
      <c r="A459" s="477" t="s">
        <v>18</v>
      </c>
      <c r="B459" s="478" t="s">
        <v>19</v>
      </c>
      <c r="C459" s="479"/>
      <c r="D459" s="480"/>
      <c r="E459" s="480"/>
      <c r="F459" s="481"/>
      <c r="G459" s="515"/>
      <c r="H459" s="507"/>
      <c r="I459" s="444"/>
      <c r="J459" s="30"/>
      <c r="K459" s="30"/>
      <c r="L459" s="30"/>
      <c r="M459" s="30"/>
      <c r="N459" s="2"/>
    </row>
    <row r="460" spans="1:14" ht="33" customHeight="1">
      <c r="A460" s="460" t="s">
        <v>1066</v>
      </c>
      <c r="B460" s="461" t="s">
        <v>1067</v>
      </c>
      <c r="C460" s="462" t="e">
        <f>VLOOKUP($B$3,[20]QATC20!$B$2:$BP$34,2,FALSE)</f>
        <v>#N/A</v>
      </c>
      <c r="D460" s="463"/>
      <c r="E460" s="463"/>
      <c r="F460" s="462"/>
      <c r="G460" s="508">
        <f>IF(COUNTIF(F461:F476,"Não se aplica")&gt;=2,"Não se aplica",IF(COUNTIF(F461:F476,"Sem classificação")&gt;=2,"Sem classificação",IF(AND(COUNTIF(F461:F476,"Atende")=16,(COUNTIF(E461:E476,"Atende")=16)),4,IF(COUNTIF(F461:F476,"Atende")=16,3,IF(COUNTIF(F461:F476,"Atende")&gt;=6,2,IF(COUNTIF(F461:F476,"Atende")&gt;=5,1,0))))))</f>
        <v>2</v>
      </c>
      <c r="H460" s="462"/>
      <c r="I460" s="465"/>
      <c r="J460" s="37"/>
      <c r="K460" s="37"/>
      <c r="L460" s="37"/>
      <c r="M460" s="37"/>
      <c r="N460" s="2"/>
    </row>
    <row r="461" spans="1:14" ht="67.5" customHeight="1">
      <c r="A461" s="464" t="s">
        <v>1068</v>
      </c>
      <c r="B461" s="488" t="s">
        <v>1069</v>
      </c>
      <c r="C461" s="454"/>
      <c r="D461" s="455"/>
      <c r="E461" s="455"/>
      <c r="F461" s="421" t="s">
        <v>1258</v>
      </c>
      <c r="G461" s="456">
        <f>IF(F461="Atende",1,0)</f>
        <v>1</v>
      </c>
      <c r="H461" s="572" t="s">
        <v>1070</v>
      </c>
      <c r="I461" s="542" t="s">
        <v>1953</v>
      </c>
      <c r="J461" s="30"/>
      <c r="K461" s="30"/>
      <c r="L461" s="30"/>
      <c r="M461" s="30"/>
      <c r="N461" s="376" t="s">
        <v>1737</v>
      </c>
    </row>
    <row r="462" spans="1:14" ht="24.75" customHeight="1">
      <c r="A462" s="453" t="s">
        <v>1071</v>
      </c>
      <c r="B462" s="384" t="s">
        <v>1072</v>
      </c>
      <c r="C462" s="454"/>
      <c r="D462" s="455"/>
      <c r="E462" s="455"/>
      <c r="F462" s="456" t="s">
        <v>1258</v>
      </c>
      <c r="G462" s="421"/>
      <c r="H462" s="566"/>
      <c r="I462" s="516" t="s">
        <v>1619</v>
      </c>
      <c r="J462" s="30" t="s">
        <v>1956</v>
      </c>
      <c r="K462" s="30"/>
      <c r="L462" s="30"/>
      <c r="M462" s="30"/>
      <c r="N462" s="376" t="s">
        <v>1737</v>
      </c>
    </row>
    <row r="463" spans="1:14" ht="24.75" customHeight="1">
      <c r="A463" s="453" t="s">
        <v>1073</v>
      </c>
      <c r="B463" s="384" t="s">
        <v>1074</v>
      </c>
      <c r="C463" s="454"/>
      <c r="D463" s="455"/>
      <c r="E463" s="455"/>
      <c r="F463" s="456" t="s">
        <v>1258</v>
      </c>
      <c r="G463" s="421"/>
      <c r="H463" s="566"/>
      <c r="I463" s="516" t="s">
        <v>1619</v>
      </c>
      <c r="J463" s="30" t="s">
        <v>1956</v>
      </c>
      <c r="K463" s="30"/>
      <c r="L463" s="30"/>
      <c r="M463" s="30"/>
      <c r="N463" s="376" t="s">
        <v>1737</v>
      </c>
    </row>
    <row r="464" spans="1:14" ht="24.75" customHeight="1">
      <c r="A464" s="453" t="s">
        <v>1075</v>
      </c>
      <c r="B464" s="384" t="s">
        <v>1076</v>
      </c>
      <c r="C464" s="454"/>
      <c r="D464" s="455"/>
      <c r="E464" s="455"/>
      <c r="F464" s="456" t="s">
        <v>1258</v>
      </c>
      <c r="G464" s="421"/>
      <c r="H464" s="566"/>
      <c r="I464" s="516" t="s">
        <v>1619</v>
      </c>
      <c r="J464" s="30" t="s">
        <v>1956</v>
      </c>
      <c r="K464" s="30"/>
      <c r="L464" s="30"/>
      <c r="M464" s="30"/>
      <c r="N464" s="376" t="s">
        <v>1737</v>
      </c>
    </row>
    <row r="465" spans="1:14" ht="24.75" customHeight="1">
      <c r="A465" s="453" t="s">
        <v>1077</v>
      </c>
      <c r="B465" s="384" t="s">
        <v>1078</v>
      </c>
      <c r="C465" s="454"/>
      <c r="D465" s="455"/>
      <c r="E465" s="455"/>
      <c r="F465" s="456" t="s">
        <v>1258</v>
      </c>
      <c r="G465" s="421"/>
      <c r="H465" s="566"/>
      <c r="I465" s="516" t="s">
        <v>1619</v>
      </c>
      <c r="J465" s="30" t="s">
        <v>1956</v>
      </c>
      <c r="K465" s="30"/>
      <c r="L465" s="30"/>
      <c r="M465" s="30"/>
      <c r="N465" s="376" t="s">
        <v>1737</v>
      </c>
    </row>
    <row r="466" spans="1:14" ht="39.75" customHeight="1">
      <c r="A466" s="464" t="s">
        <v>1079</v>
      </c>
      <c r="B466" s="488" t="s">
        <v>1080</v>
      </c>
      <c r="C466" s="454"/>
      <c r="D466" s="455"/>
      <c r="E466" s="455"/>
      <c r="F466" s="421" t="s">
        <v>1258</v>
      </c>
      <c r="G466" s="456">
        <f>IF(F466="Atende",1,0)</f>
        <v>1</v>
      </c>
      <c r="H466" s="566"/>
      <c r="I466" s="516" t="s">
        <v>1619</v>
      </c>
      <c r="J466" s="30" t="s">
        <v>1956</v>
      </c>
      <c r="K466" s="30"/>
      <c r="L466" s="30"/>
      <c r="M466" s="30"/>
      <c r="N466" s="376" t="s">
        <v>1737</v>
      </c>
    </row>
    <row r="467" spans="1:14" ht="20.25" customHeight="1">
      <c r="A467" s="453" t="s">
        <v>1071</v>
      </c>
      <c r="B467" s="384" t="s">
        <v>1081</v>
      </c>
      <c r="C467" s="454"/>
      <c r="D467" s="455"/>
      <c r="E467" s="455"/>
      <c r="F467" s="456" t="s">
        <v>1258</v>
      </c>
      <c r="G467" s="421"/>
      <c r="H467" s="566"/>
      <c r="I467" s="516" t="s">
        <v>1619</v>
      </c>
      <c r="J467" s="30" t="s">
        <v>1956</v>
      </c>
      <c r="K467" s="30"/>
      <c r="L467" s="30"/>
      <c r="M467" s="30"/>
      <c r="N467" s="376" t="s">
        <v>1737</v>
      </c>
    </row>
    <row r="468" spans="1:14" ht="26.25" customHeight="1">
      <c r="A468" s="453" t="s">
        <v>1073</v>
      </c>
      <c r="B468" s="384" t="s">
        <v>1082</v>
      </c>
      <c r="C468" s="454"/>
      <c r="D468" s="455"/>
      <c r="E468" s="455"/>
      <c r="F468" s="456" t="s">
        <v>1258</v>
      </c>
      <c r="G468" s="421"/>
      <c r="H468" s="566"/>
      <c r="I468" s="516" t="s">
        <v>1619</v>
      </c>
      <c r="J468" s="30" t="s">
        <v>1956</v>
      </c>
      <c r="K468" s="30"/>
      <c r="L468" s="30"/>
      <c r="M468" s="30"/>
      <c r="N468" s="376" t="s">
        <v>1737</v>
      </c>
    </row>
    <row r="469" spans="1:14" ht="26.25" customHeight="1">
      <c r="A469" s="453" t="s">
        <v>1075</v>
      </c>
      <c r="B469" s="384" t="s">
        <v>1083</v>
      </c>
      <c r="C469" s="454"/>
      <c r="D469" s="455"/>
      <c r="E469" s="455"/>
      <c r="F469" s="456" t="s">
        <v>1258</v>
      </c>
      <c r="G469" s="421"/>
      <c r="H469" s="566"/>
      <c r="I469" s="516" t="s">
        <v>1619</v>
      </c>
      <c r="J469" s="30" t="s">
        <v>1956</v>
      </c>
      <c r="K469" s="30"/>
      <c r="L469" s="30"/>
      <c r="M469" s="30"/>
      <c r="N469" s="376" t="s">
        <v>1737</v>
      </c>
    </row>
    <row r="470" spans="1:14" ht="49.5" customHeight="1">
      <c r="A470" s="464" t="s">
        <v>1084</v>
      </c>
      <c r="B470" s="488" t="s">
        <v>1085</v>
      </c>
      <c r="C470" s="454"/>
      <c r="D470" s="455"/>
      <c r="E470" s="455"/>
      <c r="F470" s="421"/>
      <c r="G470" s="456">
        <f>IF(F470="Atende",1,0)</f>
        <v>0</v>
      </c>
      <c r="H470" s="566"/>
      <c r="I470" s="384"/>
      <c r="J470" s="30"/>
      <c r="K470" s="30"/>
      <c r="L470" s="30"/>
      <c r="M470" s="30"/>
      <c r="N470" s="2"/>
    </row>
    <row r="471" spans="1:14" ht="24.75" customHeight="1">
      <c r="A471" s="453" t="s">
        <v>1071</v>
      </c>
      <c r="B471" s="384" t="s">
        <v>1086</v>
      </c>
      <c r="C471" s="517"/>
      <c r="D471" s="455"/>
      <c r="E471" s="455"/>
      <c r="F471" s="456" t="s">
        <v>1258</v>
      </c>
      <c r="G471" s="421"/>
      <c r="H471" s="566"/>
      <c r="I471" s="516" t="s">
        <v>1619</v>
      </c>
      <c r="J471" s="30" t="s">
        <v>1956</v>
      </c>
      <c r="K471" s="30"/>
      <c r="L471" s="30"/>
      <c r="M471" s="30"/>
      <c r="N471" s="376" t="s">
        <v>1737</v>
      </c>
    </row>
    <row r="472" spans="1:14" ht="24.75" customHeight="1">
      <c r="A472" s="453" t="s">
        <v>1073</v>
      </c>
      <c r="B472" s="154" t="s">
        <v>1087</v>
      </c>
      <c r="C472" s="517"/>
      <c r="D472" s="455"/>
      <c r="E472" s="455"/>
      <c r="F472" s="456" t="s">
        <v>1258</v>
      </c>
      <c r="G472" s="421"/>
      <c r="H472" s="566"/>
      <c r="I472" s="377" t="s">
        <v>1898</v>
      </c>
      <c r="J472" s="30" t="s">
        <v>1956</v>
      </c>
      <c r="K472" s="30"/>
      <c r="L472" s="30"/>
      <c r="M472" s="444"/>
      <c r="N472" s="376" t="s">
        <v>1737</v>
      </c>
    </row>
    <row r="473" spans="1:14" ht="24.75" customHeight="1">
      <c r="A473" s="453" t="s">
        <v>1075</v>
      </c>
      <c r="B473" s="384" t="s">
        <v>1088</v>
      </c>
      <c r="C473" s="517"/>
      <c r="D473" s="455"/>
      <c r="E473" s="455"/>
      <c r="F473" s="456" t="s">
        <v>1258</v>
      </c>
      <c r="G473" s="421"/>
      <c r="H473" s="566"/>
      <c r="I473" s="377" t="s">
        <v>1896</v>
      </c>
      <c r="J473" s="30" t="s">
        <v>1956</v>
      </c>
      <c r="K473" s="30"/>
      <c r="L473" s="30"/>
      <c r="M473" s="30"/>
      <c r="N473" s="2"/>
    </row>
    <row r="474" spans="1:14" ht="57.75" customHeight="1">
      <c r="A474" s="453" t="s">
        <v>1077</v>
      </c>
      <c r="B474" s="384" t="s">
        <v>1089</v>
      </c>
      <c r="C474" s="517"/>
      <c r="D474" s="455"/>
      <c r="E474" s="455"/>
      <c r="F474" s="456" t="s">
        <v>1258</v>
      </c>
      <c r="G474" s="421"/>
      <c r="H474" s="566"/>
      <c r="I474" s="518" t="s">
        <v>1872</v>
      </c>
      <c r="J474" s="30" t="s">
        <v>1956</v>
      </c>
      <c r="K474" s="30"/>
      <c r="L474" s="30"/>
      <c r="M474" s="30"/>
      <c r="N474" s="353" t="s">
        <v>1874</v>
      </c>
    </row>
    <row r="475" spans="1:14" ht="86.25" customHeight="1">
      <c r="A475" s="453" t="s">
        <v>1090</v>
      </c>
      <c r="B475" s="384" t="s">
        <v>1091</v>
      </c>
      <c r="C475" s="517"/>
      <c r="D475" s="455"/>
      <c r="E475" s="455"/>
      <c r="F475" s="456" t="s">
        <v>1258</v>
      </c>
      <c r="G475" s="421"/>
      <c r="H475" s="566"/>
      <c r="I475" s="348" t="s">
        <v>1620</v>
      </c>
      <c r="J475" s="30" t="s">
        <v>1956</v>
      </c>
      <c r="K475" s="30"/>
      <c r="L475" s="30"/>
      <c r="M475" s="30"/>
      <c r="N475" s="376" t="s">
        <v>1737</v>
      </c>
    </row>
    <row r="476" spans="1:14" ht="24.75" customHeight="1">
      <c r="A476" s="453" t="s">
        <v>1092</v>
      </c>
      <c r="B476" s="384" t="s">
        <v>1093</v>
      </c>
      <c r="C476" s="517"/>
      <c r="D476" s="455"/>
      <c r="E476" s="455"/>
      <c r="F476" s="42"/>
      <c r="G476" s="421"/>
      <c r="H476" s="519"/>
      <c r="I476" s="444"/>
      <c r="J476" s="30"/>
      <c r="K476" s="30"/>
      <c r="L476" s="30"/>
      <c r="M476" s="30"/>
      <c r="N476" s="2"/>
    </row>
    <row r="477" spans="1:14" ht="31.5" customHeight="1">
      <c r="A477" s="460" t="s">
        <v>1094</v>
      </c>
      <c r="B477" s="461" t="s">
        <v>1095</v>
      </c>
      <c r="C477" s="462" t="e">
        <f>VLOOKUP($B$3,[20]QATC20!$B$2:$BP$34,17,FALSE)</f>
        <v>#N/A</v>
      </c>
      <c r="D477" s="463"/>
      <c r="E477" s="463"/>
      <c r="F477" s="465"/>
      <c r="G477" s="465">
        <f>IF(COUNTIF(F478:F481,"Não se aplica")&gt;=2,"Não se aplica",IF(COUNTIF(F478:F481,"Sem classificação")&gt;=2,"Sem classificação",IF(COUNTIF(F478:F481,"Atende")=4,4,IF(COUNTIF(F478:F481,"Atende")=3,3,IF(COUNTIF(F478:F481,"Atende")=2,2,IF(COUNTIF(F478:F481,"Atende")=1,1,0))))))</f>
        <v>3</v>
      </c>
      <c r="H477" s="462"/>
      <c r="I477" s="465"/>
      <c r="J477" s="37"/>
      <c r="K477" s="37"/>
      <c r="L477" s="37"/>
      <c r="M477" s="37"/>
      <c r="N477" s="2"/>
    </row>
    <row r="478" spans="1:14" ht="47.25" customHeight="1">
      <c r="A478" s="453" t="s">
        <v>1096</v>
      </c>
      <c r="B478" s="384" t="s">
        <v>984</v>
      </c>
      <c r="C478" s="454"/>
      <c r="D478" s="455"/>
      <c r="E478" s="455"/>
      <c r="F478" s="421" t="s">
        <v>1258</v>
      </c>
      <c r="G478" s="456">
        <f t="shared" ref="G478:G480" si="55">IF(F478="Atende",1,0)</f>
        <v>1</v>
      </c>
      <c r="H478" s="572" t="s">
        <v>183</v>
      </c>
      <c r="I478" s="366" t="s">
        <v>1732</v>
      </c>
      <c r="J478" s="30" t="s">
        <v>1956</v>
      </c>
      <c r="K478" s="30"/>
      <c r="L478" s="30"/>
      <c r="M478" s="30"/>
      <c r="N478" s="376" t="s">
        <v>1739</v>
      </c>
    </row>
    <row r="479" spans="1:14" ht="56.25" customHeight="1">
      <c r="A479" s="453" t="s">
        <v>1097</v>
      </c>
      <c r="B479" s="384" t="s">
        <v>1098</v>
      </c>
      <c r="C479" s="454"/>
      <c r="D479" s="455"/>
      <c r="E479" s="455"/>
      <c r="F479" s="421" t="s">
        <v>1258</v>
      </c>
      <c r="G479" s="456">
        <f t="shared" si="55"/>
        <v>1</v>
      </c>
      <c r="H479" s="566"/>
      <c r="I479" s="366" t="s">
        <v>1738</v>
      </c>
      <c r="J479" s="30" t="s">
        <v>1956</v>
      </c>
      <c r="K479" s="30"/>
      <c r="L479" s="30"/>
      <c r="M479" s="30"/>
      <c r="N479" s="376" t="s">
        <v>1739</v>
      </c>
    </row>
    <row r="480" spans="1:14" ht="54.75" customHeight="1">
      <c r="A480" s="453" t="s">
        <v>1099</v>
      </c>
      <c r="B480" s="384" t="s">
        <v>982</v>
      </c>
      <c r="C480" s="454"/>
      <c r="D480" s="455"/>
      <c r="E480" s="455"/>
      <c r="F480" s="421"/>
      <c r="G480" s="456">
        <f t="shared" si="55"/>
        <v>0</v>
      </c>
      <c r="H480" s="566"/>
      <c r="I480" s="384"/>
      <c r="J480" s="30"/>
      <c r="K480" s="30"/>
      <c r="L480" s="30"/>
      <c r="M480" s="30"/>
      <c r="N480" s="2"/>
    </row>
    <row r="481" spans="1:14" ht="57" customHeight="1">
      <c r="A481" s="453" t="s">
        <v>1100</v>
      </c>
      <c r="B481" s="154" t="s">
        <v>986</v>
      </c>
      <c r="C481" s="454"/>
      <c r="D481" s="455"/>
      <c r="E481" s="455"/>
      <c r="F481" s="421" t="s">
        <v>1258</v>
      </c>
      <c r="G481" s="456">
        <f>IF(F481="Atende",1,0)</f>
        <v>1</v>
      </c>
      <c r="H481" s="566"/>
      <c r="I481" s="176" t="s">
        <v>1898</v>
      </c>
      <c r="J481" s="30" t="s">
        <v>1956</v>
      </c>
      <c r="K481" s="30"/>
      <c r="L481" s="30"/>
      <c r="M481" s="30"/>
      <c r="N481" s="376" t="s">
        <v>1739</v>
      </c>
    </row>
    <row r="482" spans="1:14" ht="24.75" customHeight="1">
      <c r="A482" s="460" t="s">
        <v>1101</v>
      </c>
      <c r="B482" s="461" t="s">
        <v>1102</v>
      </c>
      <c r="C482" s="462" t="e">
        <f>VLOOKUP($B$3,[20]QATC20!$B$2:$BP$34,38,FALSE)</f>
        <v>#N/A</v>
      </c>
      <c r="D482" s="463"/>
      <c r="E482" s="463"/>
      <c r="F482" s="462"/>
      <c r="G482" s="508">
        <f>IF(COUNTIF(F483:F487,"Não se aplica")&gt;=2,"Não se aplica",IF(COUNTIF(F483:F487,"Sem classificação")&gt;=2,"Sem classificação",IF(COUNTIF(F483:F487,"Atende")=5,4,IF(COUNTIF(F483:F487,"Atende")&gt;=4,3,IF(COUNTIF(F483:F487,"Atende")&gt;=2,2,IF(COUNTIF(F483:F487,"Atende")&gt;=1,1,0))))))</f>
        <v>1</v>
      </c>
      <c r="H482" s="462"/>
      <c r="I482" s="465"/>
      <c r="J482" s="37"/>
      <c r="K482" s="37"/>
      <c r="L482" s="37"/>
      <c r="M482" s="37"/>
      <c r="N482" s="2"/>
    </row>
    <row r="483" spans="1:14" ht="57.75" customHeight="1">
      <c r="A483" s="453" t="s">
        <v>1103</v>
      </c>
      <c r="B483" s="384" t="s">
        <v>1104</v>
      </c>
      <c r="C483" s="454"/>
      <c r="D483" s="455"/>
      <c r="E483" s="455"/>
      <c r="F483" s="421"/>
      <c r="G483" s="456">
        <f t="shared" ref="G483:G487" si="56">IF(F483="Atende",1,0)</f>
        <v>0</v>
      </c>
      <c r="H483" s="572" t="s">
        <v>1105</v>
      </c>
      <c r="I483" s="366" t="s">
        <v>1621</v>
      </c>
      <c r="J483" s="30"/>
      <c r="K483" s="30"/>
      <c r="L483" s="30"/>
      <c r="M483" s="30"/>
      <c r="N483" s="2"/>
    </row>
    <row r="484" spans="1:14" ht="49.5" customHeight="1">
      <c r="A484" s="453" t="s">
        <v>1106</v>
      </c>
      <c r="B484" s="384" t="s">
        <v>993</v>
      </c>
      <c r="C484" s="454"/>
      <c r="D484" s="455"/>
      <c r="E484" s="455"/>
      <c r="F484" s="421" t="s">
        <v>1258</v>
      </c>
      <c r="G484" s="456">
        <f t="shared" si="56"/>
        <v>1</v>
      </c>
      <c r="H484" s="566"/>
      <c r="I484" s="366" t="s">
        <v>1942</v>
      </c>
      <c r="J484" s="30" t="s">
        <v>1956</v>
      </c>
      <c r="K484" s="30"/>
      <c r="L484" s="30"/>
      <c r="M484" s="30"/>
      <c r="N484" s="2"/>
    </row>
    <row r="485" spans="1:14" ht="57.75" customHeight="1">
      <c r="A485" s="453" t="s">
        <v>1107</v>
      </c>
      <c r="B485" s="384" t="s">
        <v>1108</v>
      </c>
      <c r="C485" s="454"/>
      <c r="D485" s="455"/>
      <c r="E485" s="455"/>
      <c r="F485" s="421"/>
      <c r="G485" s="456">
        <f t="shared" si="56"/>
        <v>0</v>
      </c>
      <c r="H485" s="566"/>
      <c r="I485" s="366"/>
      <c r="J485" s="30"/>
      <c r="K485" s="30"/>
      <c r="L485" s="30"/>
      <c r="M485" s="30"/>
      <c r="N485" s="2"/>
    </row>
    <row r="486" spans="1:14" ht="45.75" customHeight="1">
      <c r="A486" s="453" t="s">
        <v>1109</v>
      </c>
      <c r="B486" s="384" t="s">
        <v>1110</v>
      </c>
      <c r="C486" s="454"/>
      <c r="D486" s="455"/>
      <c r="E486" s="455"/>
      <c r="F486" s="421"/>
      <c r="G486" s="456">
        <f t="shared" si="56"/>
        <v>0</v>
      </c>
      <c r="H486" s="566"/>
      <c r="I486" s="358"/>
      <c r="J486" s="30"/>
      <c r="K486" s="30"/>
      <c r="L486" s="30"/>
      <c r="M486" s="30"/>
      <c r="N486" s="2"/>
    </row>
    <row r="487" spans="1:14" ht="50.25" customHeight="1">
      <c r="A487" s="453" t="s">
        <v>1111</v>
      </c>
      <c r="B487" s="384" t="s">
        <v>1112</v>
      </c>
      <c r="C487" s="454"/>
      <c r="D487" s="455"/>
      <c r="E487" s="455"/>
      <c r="F487" s="421"/>
      <c r="G487" s="456">
        <f t="shared" si="56"/>
        <v>0</v>
      </c>
      <c r="H487" s="566"/>
      <c r="I487" s="509"/>
      <c r="J487" s="30"/>
      <c r="K487" s="30"/>
      <c r="L487" s="30"/>
      <c r="M487" s="30"/>
      <c r="N487" s="2"/>
    </row>
    <row r="488" spans="1:14" ht="37.5" customHeight="1">
      <c r="A488" s="460" t="s">
        <v>1113</v>
      </c>
      <c r="B488" s="461" t="s">
        <v>1114</v>
      </c>
      <c r="C488" s="462" t="e">
        <f>VLOOKUP($B$3,[20]QATC20!$B$2:$BP$34,53,FALSE)</f>
        <v>#N/A</v>
      </c>
      <c r="D488" s="463"/>
      <c r="E488" s="463"/>
      <c r="F488" s="465"/>
      <c r="G488" s="486">
        <f>IF(COUNTIF(F489:F493,"Não se aplica")&gt;=2,"Não se aplica",IF(COUNTIF(F489:F493,"Sem classificação")&gt;=2,"Sem classificação",IF(COUNTIF(F489:F493,"Atende")=5,4,IF(COUNTIF(F489:F493,"Atende")&gt;=4,3,IF(COUNTIF(F489:F493,"Atende")&gt;=2,2,IF(COUNTIF(F489:F493,"Atende")&gt;=1,1,0))))))</f>
        <v>3</v>
      </c>
      <c r="H488" s="465"/>
      <c r="I488" s="487"/>
      <c r="J488" s="37"/>
      <c r="K488" s="37"/>
      <c r="L488" s="37"/>
      <c r="M488" s="37"/>
      <c r="N488" s="2"/>
    </row>
    <row r="489" spans="1:14" ht="57" customHeight="1">
      <c r="A489" s="453" t="s">
        <v>1115</v>
      </c>
      <c r="B489" s="384" t="s">
        <v>1116</v>
      </c>
      <c r="C489" s="454"/>
      <c r="D489" s="455"/>
      <c r="E489" s="455"/>
      <c r="F489" s="421" t="s">
        <v>1258</v>
      </c>
      <c r="G489" s="456">
        <f t="shared" ref="G489:G493" si="57">IF(F489="Atende",1,0)</f>
        <v>1</v>
      </c>
      <c r="H489" s="579" t="s">
        <v>1117</v>
      </c>
      <c r="I489" s="543" t="s">
        <v>1622</v>
      </c>
      <c r="J489" s="30" t="s">
        <v>1956</v>
      </c>
      <c r="K489" s="30"/>
      <c r="L489" s="30"/>
      <c r="M489" s="30"/>
      <c r="N489" s="376" t="s">
        <v>1740</v>
      </c>
    </row>
    <row r="490" spans="1:14" ht="24.75" customHeight="1">
      <c r="A490" s="453" t="s">
        <v>1118</v>
      </c>
      <c r="B490" s="384" t="s">
        <v>1119</v>
      </c>
      <c r="C490" s="454"/>
      <c r="D490" s="455"/>
      <c r="E490" s="455"/>
      <c r="F490" s="421" t="s">
        <v>1258</v>
      </c>
      <c r="G490" s="456">
        <f t="shared" si="57"/>
        <v>1</v>
      </c>
      <c r="H490" s="566"/>
      <c r="I490" s="520"/>
      <c r="J490" s="30" t="s">
        <v>1956</v>
      </c>
      <c r="K490" s="30"/>
      <c r="L490" s="30"/>
      <c r="M490" s="30"/>
      <c r="N490" s="2"/>
    </row>
    <row r="491" spans="1:14" ht="72" customHeight="1">
      <c r="A491" s="453" t="s">
        <v>1120</v>
      </c>
      <c r="B491" s="384" t="s">
        <v>1121</v>
      </c>
      <c r="C491" s="454"/>
      <c r="D491" s="455"/>
      <c r="E491" s="455"/>
      <c r="F491" s="421" t="s">
        <v>1258</v>
      </c>
      <c r="G491" s="456">
        <f t="shared" si="57"/>
        <v>1</v>
      </c>
      <c r="H491" s="566"/>
      <c r="I491" s="543" t="s">
        <v>1943</v>
      </c>
      <c r="J491" s="30" t="s">
        <v>1956</v>
      </c>
      <c r="K491" s="30"/>
      <c r="L491" s="30"/>
      <c r="M491" s="30"/>
      <c r="N491" s="376" t="s">
        <v>1740</v>
      </c>
    </row>
    <row r="492" spans="1:14" ht="58.5" customHeight="1">
      <c r="A492" s="453" t="s">
        <v>1122</v>
      </c>
      <c r="B492" s="384" t="s">
        <v>1123</v>
      </c>
      <c r="C492" s="454"/>
      <c r="D492" s="455"/>
      <c r="E492" s="455"/>
      <c r="F492" s="421" t="s">
        <v>1258</v>
      </c>
      <c r="G492" s="456">
        <f t="shared" si="57"/>
        <v>1</v>
      </c>
      <c r="H492" s="566"/>
      <c r="I492" s="520"/>
      <c r="J492" s="30" t="s">
        <v>1956</v>
      </c>
      <c r="K492" s="30"/>
      <c r="L492" s="30"/>
      <c r="M492" s="30"/>
      <c r="N492" s="2"/>
    </row>
    <row r="493" spans="1:14" ht="64.5" customHeight="1">
      <c r="A493" s="453" t="s">
        <v>1124</v>
      </c>
      <c r="B493" s="384" t="s">
        <v>1125</v>
      </c>
      <c r="C493" s="454"/>
      <c r="D493" s="455"/>
      <c r="E493" s="455"/>
      <c r="F493" s="421"/>
      <c r="G493" s="456">
        <f t="shared" si="57"/>
        <v>0</v>
      </c>
      <c r="H493" s="575"/>
      <c r="I493" s="326" t="s">
        <v>1623</v>
      </c>
      <c r="J493" s="30"/>
      <c r="K493" s="30"/>
      <c r="L493" s="30"/>
      <c r="M493" s="30"/>
      <c r="N493" s="376" t="s">
        <v>1740</v>
      </c>
    </row>
    <row r="494" spans="1:14" ht="26.25" customHeight="1">
      <c r="A494" s="468" t="s">
        <v>267</v>
      </c>
      <c r="B494" s="514" t="s">
        <v>1126</v>
      </c>
      <c r="C494" s="473" t="s">
        <v>1065</v>
      </c>
      <c r="D494" s="521"/>
      <c r="E494" s="472">
        <f>SUM(G496,G503,G510)</f>
        <v>12</v>
      </c>
      <c r="F494" s="470"/>
      <c r="G494" s="505" t="str">
        <f>IF(H494&gt;=2,"Não se aplica",IF(I494&gt;=2,"Sem classificação",IF(F494=4,IF(E494&lt;=2,0,IF(E494&lt;=6,1,IF(E494&lt;=10,2,IF(E494&lt;=14,3,4)))),IF(F494=3,ROUND(AVERAGE(G496,G503,G510),0),IF(F494=2,ROUNDDOWN(AVERAGE(G496,G503,G510),0),"Não se aplica")))))</f>
        <v>Não se aplica</v>
      </c>
      <c r="H494" s="475">
        <f>COUNTIF(G496:G510,"Não se aplica")</f>
        <v>0</v>
      </c>
      <c r="I494" s="476"/>
      <c r="J494" s="22"/>
      <c r="K494" s="22"/>
      <c r="L494" s="22"/>
      <c r="M494" s="22"/>
      <c r="N494" s="2"/>
    </row>
    <row r="495" spans="1:14" ht="19.5" customHeight="1">
      <c r="A495" s="477" t="s">
        <v>18</v>
      </c>
      <c r="B495" s="478" t="s">
        <v>19</v>
      </c>
      <c r="C495" s="479"/>
      <c r="D495" s="480"/>
      <c r="E495" s="480"/>
      <c r="F495" s="481"/>
      <c r="G495" s="515"/>
      <c r="H495" s="507"/>
      <c r="I495" s="444"/>
      <c r="J495" s="30"/>
      <c r="K495" s="30"/>
      <c r="L495" s="30"/>
      <c r="M495" s="30"/>
      <c r="N495" s="2"/>
    </row>
    <row r="496" spans="1:14" ht="26.25" customHeight="1">
      <c r="A496" s="460" t="s">
        <v>1127</v>
      </c>
      <c r="B496" s="461" t="s">
        <v>1128</v>
      </c>
      <c r="C496" s="462" t="e">
        <f>VLOOKUP($B$3,[21]QATC21!$B$2:$AU$34,2,FALSE)</f>
        <v>#N/A</v>
      </c>
      <c r="D496" s="463"/>
      <c r="E496" s="463"/>
      <c r="F496" s="462"/>
      <c r="G496" s="508">
        <f>IF(COUNTIF(F497:F502,"Não se aplica")&gt;=2,"Não se aplica",IF(COUNTIF(F497:F502,"Sem classificação")&gt;=2,"Sem classificação",IF(COUNTIF(F497:F502,"Atende")=6,4,IF(COUNTIF(F497:F502,"Atende")=5,3,IF(COUNTIF(F497:F502,"Atende")=2,2,IF(COUNTIF(F497:F502,"Atende")=1,1,0))))))</f>
        <v>4</v>
      </c>
      <c r="H496" s="462"/>
      <c r="I496" s="465"/>
      <c r="J496" s="37"/>
      <c r="K496" s="37"/>
      <c r="L496" s="37"/>
      <c r="M496" s="37"/>
      <c r="N496" s="2"/>
    </row>
    <row r="497" spans="1:14" ht="143.25" customHeight="1">
      <c r="A497" s="453" t="s">
        <v>1129</v>
      </c>
      <c r="B497" s="384" t="s">
        <v>1130</v>
      </c>
      <c r="C497" s="454"/>
      <c r="D497" s="455"/>
      <c r="E497" s="455"/>
      <c r="F497" s="421" t="s">
        <v>1258</v>
      </c>
      <c r="G497" s="456">
        <f t="shared" ref="G497:G502" si="58">IF(F497="Atende",1,0)</f>
        <v>1</v>
      </c>
      <c r="H497" s="572" t="s">
        <v>1131</v>
      </c>
      <c r="I497" s="326" t="s">
        <v>1949</v>
      </c>
      <c r="J497" s="30" t="s">
        <v>1956</v>
      </c>
      <c r="K497" s="30"/>
      <c r="L497" s="30"/>
      <c r="M497" s="30"/>
      <c r="N497" s="376" t="s">
        <v>1741</v>
      </c>
    </row>
    <row r="498" spans="1:14" ht="75" customHeight="1">
      <c r="A498" s="453" t="s">
        <v>1132</v>
      </c>
      <c r="B498" s="384" t="s">
        <v>1133</v>
      </c>
      <c r="C498" s="454"/>
      <c r="D498" s="455"/>
      <c r="E498" s="455"/>
      <c r="F498" s="421" t="s">
        <v>1258</v>
      </c>
      <c r="G498" s="456">
        <f t="shared" si="58"/>
        <v>1</v>
      </c>
      <c r="H498" s="566"/>
      <c r="I498" s="522" t="s">
        <v>1624</v>
      </c>
      <c r="J498" s="30" t="s">
        <v>1956</v>
      </c>
      <c r="K498" s="30"/>
      <c r="L498" s="30"/>
      <c r="M498" s="30"/>
      <c r="N498" s="376" t="s">
        <v>1741</v>
      </c>
    </row>
    <row r="499" spans="1:14" ht="104.25" customHeight="1">
      <c r="A499" s="453" t="s">
        <v>1134</v>
      </c>
      <c r="B499" s="384" t="s">
        <v>1135</v>
      </c>
      <c r="C499" s="454"/>
      <c r="D499" s="455"/>
      <c r="E499" s="455"/>
      <c r="F499" s="421" t="s">
        <v>1258</v>
      </c>
      <c r="G499" s="456">
        <f t="shared" si="58"/>
        <v>1</v>
      </c>
      <c r="H499" s="578"/>
      <c r="I499" s="537" t="s">
        <v>1937</v>
      </c>
      <c r="J499" s="149" t="s">
        <v>1956</v>
      </c>
      <c r="K499" s="30"/>
      <c r="L499" s="30"/>
      <c r="M499" s="30"/>
      <c r="N499" s="376" t="s">
        <v>1741</v>
      </c>
    </row>
    <row r="500" spans="1:14" ht="48.75" customHeight="1">
      <c r="A500" s="453" t="s">
        <v>1136</v>
      </c>
      <c r="B500" s="384" t="s">
        <v>1137</v>
      </c>
      <c r="C500" s="454"/>
      <c r="D500" s="455"/>
      <c r="E500" s="455"/>
      <c r="F500" s="421" t="s">
        <v>1258</v>
      </c>
      <c r="G500" s="456">
        <f t="shared" si="58"/>
        <v>1</v>
      </c>
      <c r="H500" s="578"/>
      <c r="I500" s="523" t="s">
        <v>1937</v>
      </c>
      <c r="J500" s="149" t="s">
        <v>1956</v>
      </c>
      <c r="K500" s="30"/>
      <c r="L500" s="30"/>
      <c r="M500" s="30"/>
      <c r="N500" s="376" t="s">
        <v>1741</v>
      </c>
    </row>
    <row r="501" spans="1:14" ht="69" customHeight="1">
      <c r="A501" s="453" t="s">
        <v>1138</v>
      </c>
      <c r="B501" s="384" t="s">
        <v>1139</v>
      </c>
      <c r="C501" s="454"/>
      <c r="D501" s="455"/>
      <c r="E501" s="455"/>
      <c r="F501" s="421" t="s">
        <v>1258</v>
      </c>
      <c r="G501" s="456">
        <f t="shared" si="58"/>
        <v>1</v>
      </c>
      <c r="H501" s="566"/>
      <c r="I501" s="524" t="s">
        <v>1935</v>
      </c>
      <c r="J501" s="30" t="s">
        <v>1956</v>
      </c>
      <c r="K501" s="30"/>
      <c r="L501" s="30"/>
      <c r="M501" s="30"/>
      <c r="N501" s="398" t="s">
        <v>1741</v>
      </c>
    </row>
    <row r="502" spans="1:14" ht="26.25" customHeight="1">
      <c r="A502" s="453" t="s">
        <v>1140</v>
      </c>
      <c r="B502" s="384" t="s">
        <v>1141</v>
      </c>
      <c r="C502" s="454"/>
      <c r="D502" s="455"/>
      <c r="E502" s="455"/>
      <c r="F502" s="421" t="s">
        <v>1258</v>
      </c>
      <c r="G502" s="456">
        <f t="shared" si="58"/>
        <v>1</v>
      </c>
      <c r="H502" s="566"/>
      <c r="I502" s="326" t="s">
        <v>1877</v>
      </c>
      <c r="J502" s="30" t="s">
        <v>1956</v>
      </c>
      <c r="K502" s="30"/>
      <c r="L502" s="30"/>
      <c r="M502" s="30"/>
      <c r="N502" s="2"/>
    </row>
    <row r="503" spans="1:14" ht="27" customHeight="1">
      <c r="A503" s="460" t="s">
        <v>1142</v>
      </c>
      <c r="B503" s="461" t="s">
        <v>1143</v>
      </c>
      <c r="C503" s="462" t="e">
        <f>VLOOKUP($B$3,[21]QATC21!$B$2:$AU$34,21,FALSE)</f>
        <v>#N/A</v>
      </c>
      <c r="D503" s="463"/>
      <c r="E503" s="463"/>
      <c r="F503" s="462"/>
      <c r="G503" s="508">
        <f>IF(COUNTIF(F504:F509,"Não se aplica")&gt;=2,"Não se aplica",IF(COUNTIF(F504:F509,"Sem classificação")&gt;=2,"Sem classificação",IF(COUNTIF(F504:F509,"Atende")=6,4,IF(COUNTIF(F504:F509,"Atende")=5,3,IF(COUNTIF(F504:F509,"Atende")&gt;=3,2,IF(COUNTIF(F504:F509,"Atende")&gt;=1,1,0))))))</f>
        <v>4</v>
      </c>
      <c r="H503" s="462"/>
      <c r="I503" s="465"/>
      <c r="J503" s="37"/>
      <c r="K503" s="37"/>
      <c r="L503" s="37"/>
      <c r="M503" s="37"/>
      <c r="N503" s="2"/>
    </row>
    <row r="504" spans="1:14" ht="32.25" customHeight="1">
      <c r="A504" s="453" t="s">
        <v>1144</v>
      </c>
      <c r="B504" s="384" t="s">
        <v>1145</v>
      </c>
      <c r="C504" s="454"/>
      <c r="D504" s="455"/>
      <c r="E504" s="455"/>
      <c r="F504" s="421" t="s">
        <v>1258</v>
      </c>
      <c r="G504" s="456">
        <f t="shared" ref="G504:G509" si="59">IF(F504="Atende",1,0)</f>
        <v>1</v>
      </c>
      <c r="H504" s="572" t="s">
        <v>1146</v>
      </c>
      <c r="I504" s="525" t="s">
        <v>1938</v>
      </c>
      <c r="J504" s="30" t="s">
        <v>1956</v>
      </c>
      <c r="K504" s="30"/>
      <c r="L504" s="30"/>
      <c r="M504" s="30"/>
      <c r="N504" s="376" t="s">
        <v>1742</v>
      </c>
    </row>
    <row r="505" spans="1:14" ht="31.5" customHeight="1">
      <c r="A505" s="453" t="s">
        <v>1147</v>
      </c>
      <c r="B505" s="384" t="s">
        <v>1148</v>
      </c>
      <c r="C505" s="454"/>
      <c r="D505" s="455"/>
      <c r="E505" s="455"/>
      <c r="F505" s="421" t="s">
        <v>1258</v>
      </c>
      <c r="G505" s="456">
        <f t="shared" si="59"/>
        <v>1</v>
      </c>
      <c r="H505" s="566"/>
      <c r="I505" s="526" t="s">
        <v>1939</v>
      </c>
      <c r="J505" s="30" t="s">
        <v>1956</v>
      </c>
      <c r="K505" s="30"/>
      <c r="L505" s="30"/>
      <c r="M505" s="30"/>
      <c r="N505" s="376" t="s">
        <v>1742</v>
      </c>
    </row>
    <row r="506" spans="1:14" ht="59.25" customHeight="1">
      <c r="A506" s="453" t="s">
        <v>1149</v>
      </c>
      <c r="B506" s="384" t="s">
        <v>1150</v>
      </c>
      <c r="C506" s="454"/>
      <c r="D506" s="455"/>
      <c r="E506" s="455"/>
      <c r="F506" s="421" t="s">
        <v>1258</v>
      </c>
      <c r="G506" s="456">
        <f t="shared" si="59"/>
        <v>1</v>
      </c>
      <c r="H506" s="566"/>
      <c r="I506" s="527" t="s">
        <v>1873</v>
      </c>
      <c r="J506" s="30" t="s">
        <v>1956</v>
      </c>
      <c r="K506" s="30"/>
      <c r="L506" s="30"/>
      <c r="M506" s="30"/>
      <c r="N506" s="376" t="s">
        <v>1742</v>
      </c>
    </row>
    <row r="507" spans="1:14" ht="161.25" customHeight="1">
      <c r="A507" s="453" t="s">
        <v>1151</v>
      </c>
      <c r="B507" s="384" t="s">
        <v>1152</v>
      </c>
      <c r="C507" s="454"/>
      <c r="D507" s="455"/>
      <c r="E507" s="455"/>
      <c r="F507" s="421" t="s">
        <v>1258</v>
      </c>
      <c r="G507" s="456">
        <f t="shared" si="59"/>
        <v>1</v>
      </c>
      <c r="H507" s="566"/>
      <c r="I507" s="525" t="s">
        <v>1940</v>
      </c>
      <c r="J507" s="30" t="s">
        <v>1956</v>
      </c>
      <c r="K507" s="30"/>
      <c r="L507" s="30"/>
      <c r="M507" s="30"/>
      <c r="N507" s="376" t="s">
        <v>1742</v>
      </c>
    </row>
    <row r="508" spans="1:14" ht="105.75" customHeight="1">
      <c r="A508" s="453" t="s">
        <v>1153</v>
      </c>
      <c r="B508" s="384" t="s">
        <v>1154</v>
      </c>
      <c r="C508" s="454"/>
      <c r="D508" s="455"/>
      <c r="E508" s="455"/>
      <c r="F508" s="421" t="s">
        <v>1258</v>
      </c>
      <c r="G508" s="456">
        <f t="shared" si="59"/>
        <v>1</v>
      </c>
      <c r="H508" s="566"/>
      <c r="I508" s="528" t="s">
        <v>1941</v>
      </c>
      <c r="J508" s="30" t="s">
        <v>1956</v>
      </c>
      <c r="K508" s="30"/>
      <c r="L508" s="30"/>
      <c r="M508" s="30"/>
      <c r="N508" s="376" t="s">
        <v>1742</v>
      </c>
    </row>
    <row r="509" spans="1:14" ht="28.5" customHeight="1">
      <c r="A509" s="453" t="s">
        <v>1155</v>
      </c>
      <c r="B509" s="384" t="s">
        <v>1156</v>
      </c>
      <c r="C509" s="454"/>
      <c r="D509" s="455"/>
      <c r="E509" s="455"/>
      <c r="F509" s="421" t="s">
        <v>1258</v>
      </c>
      <c r="G509" s="456">
        <f t="shared" si="59"/>
        <v>1</v>
      </c>
      <c r="H509" s="566"/>
      <c r="I509" s="525" t="s">
        <v>1935</v>
      </c>
      <c r="J509" s="30" t="s">
        <v>1956</v>
      </c>
      <c r="K509" s="30"/>
      <c r="L509" s="30"/>
      <c r="M509" s="30"/>
      <c r="N509" s="376" t="s">
        <v>1742</v>
      </c>
    </row>
    <row r="510" spans="1:14" ht="21.75" customHeight="1">
      <c r="A510" s="460" t="s">
        <v>1157</v>
      </c>
      <c r="B510" s="461" t="s">
        <v>1158</v>
      </c>
      <c r="C510" s="462" t="e">
        <f>VLOOKUP($B$3,[21]QATC21!$B$2:$AU$34,30,FALSE)</f>
        <v>#N/A</v>
      </c>
      <c r="D510" s="463"/>
      <c r="E510" s="463"/>
      <c r="F510" s="462"/>
      <c r="G510" s="508">
        <f>IF(COUNTIF(F511:F515,"Não se aplica")&gt;=2,"Não se aplica",IF(COUNTIF(F511:F515,"Sem classificação")&gt;=2,"Sem classificação",IF(COUNTIF(F511:F515,"Atende")=5,4,IF(COUNTIF(F511:F515,"Atende")=4,3,IF(COUNTIF(F511:F515,"Atende")=3,2,IF(COUNTIF(F511:F515,"Atende")=1,1,0))))))</f>
        <v>4</v>
      </c>
      <c r="H510" s="462"/>
      <c r="I510" s="465"/>
      <c r="J510" s="37"/>
      <c r="K510" s="37"/>
      <c r="L510" s="37"/>
      <c r="M510" s="37"/>
      <c r="N510" s="2"/>
    </row>
    <row r="511" spans="1:14" ht="141" customHeight="1">
      <c r="A511" s="453" t="s">
        <v>1159</v>
      </c>
      <c r="B511" s="384" t="s">
        <v>1160</v>
      </c>
      <c r="C511" s="454"/>
      <c r="D511" s="455"/>
      <c r="E511" s="455"/>
      <c r="F511" s="421" t="s">
        <v>1258</v>
      </c>
      <c r="G511" s="456">
        <f t="shared" ref="G511:G515" si="60">IF(F511="Atende",1,0)</f>
        <v>1</v>
      </c>
      <c r="H511" s="572" t="s">
        <v>1161</v>
      </c>
      <c r="I511" s="529" t="s">
        <v>1625</v>
      </c>
      <c r="J511" s="30" t="s">
        <v>1956</v>
      </c>
      <c r="K511" s="30"/>
      <c r="L511" s="30"/>
      <c r="M511" s="30"/>
      <c r="N511" s="376" t="s">
        <v>1743</v>
      </c>
    </row>
    <row r="512" spans="1:14" ht="107.25" customHeight="1">
      <c r="A512" s="453" t="s">
        <v>1162</v>
      </c>
      <c r="B512" s="384" t="s">
        <v>1163</v>
      </c>
      <c r="C512" s="454"/>
      <c r="D512" s="455"/>
      <c r="E512" s="455"/>
      <c r="F512" s="421" t="s">
        <v>1258</v>
      </c>
      <c r="G512" s="456">
        <f t="shared" si="60"/>
        <v>1</v>
      </c>
      <c r="H512" s="566"/>
      <c r="I512" s="529" t="s">
        <v>1625</v>
      </c>
      <c r="J512" s="30" t="s">
        <v>1956</v>
      </c>
      <c r="K512" s="30"/>
      <c r="L512" s="30"/>
      <c r="M512" s="30"/>
      <c r="N512" s="376" t="s">
        <v>1743</v>
      </c>
    </row>
    <row r="513" spans="1:14" ht="97.5" customHeight="1">
      <c r="A513" s="453" t="s">
        <v>1164</v>
      </c>
      <c r="B513" s="384" t="s">
        <v>1165</v>
      </c>
      <c r="C513" s="454"/>
      <c r="D513" s="455"/>
      <c r="E513" s="455"/>
      <c r="F513" s="421" t="s">
        <v>1258</v>
      </c>
      <c r="G513" s="456">
        <f t="shared" si="60"/>
        <v>1</v>
      </c>
      <c r="H513" s="566"/>
      <c r="I513" s="529" t="s">
        <v>1625</v>
      </c>
      <c r="J513" s="30" t="s">
        <v>1956</v>
      </c>
      <c r="K513" s="30"/>
      <c r="L513" s="30"/>
      <c r="M513" s="30"/>
      <c r="N513" s="376" t="s">
        <v>1743</v>
      </c>
    </row>
    <row r="514" spans="1:14" ht="154.5" customHeight="1">
      <c r="A514" s="453" t="s">
        <v>1166</v>
      </c>
      <c r="B514" s="384" t="s">
        <v>1167</v>
      </c>
      <c r="C514" s="454"/>
      <c r="D514" s="455"/>
      <c r="E514" s="455"/>
      <c r="F514" s="421" t="s">
        <v>1258</v>
      </c>
      <c r="G514" s="456">
        <f t="shared" si="60"/>
        <v>1</v>
      </c>
      <c r="H514" s="566"/>
      <c r="I514" s="529" t="s">
        <v>1625</v>
      </c>
      <c r="J514" s="30" t="s">
        <v>1956</v>
      </c>
      <c r="K514" s="30"/>
      <c r="L514" s="30"/>
      <c r="M514" s="30"/>
      <c r="N514" s="376" t="s">
        <v>1743</v>
      </c>
    </row>
    <row r="515" spans="1:14" ht="186" customHeight="1">
      <c r="A515" s="453" t="s">
        <v>1168</v>
      </c>
      <c r="B515" s="384" t="s">
        <v>1169</v>
      </c>
      <c r="C515" s="454"/>
      <c r="D515" s="455"/>
      <c r="E515" s="455"/>
      <c r="F515" s="421" t="s">
        <v>1258</v>
      </c>
      <c r="G515" s="456">
        <f t="shared" si="60"/>
        <v>1</v>
      </c>
      <c r="H515" s="566"/>
      <c r="I515" s="529" t="s">
        <v>1625</v>
      </c>
      <c r="J515" s="30" t="s">
        <v>1956</v>
      </c>
      <c r="K515" s="30"/>
      <c r="L515" s="30"/>
      <c r="M515" s="30"/>
      <c r="N515" s="376" t="s">
        <v>1743</v>
      </c>
    </row>
    <row r="516" spans="1:14" ht="29.25" customHeight="1">
      <c r="A516" s="573" t="s">
        <v>1719</v>
      </c>
      <c r="B516" s="574"/>
      <c r="C516" s="530"/>
      <c r="D516" s="531"/>
      <c r="E516" s="531"/>
      <c r="F516" s="530"/>
      <c r="G516" s="530"/>
      <c r="H516" s="530"/>
      <c r="I516" s="532"/>
      <c r="J516" s="46"/>
      <c r="K516" s="46"/>
      <c r="L516" s="46"/>
      <c r="M516" s="46"/>
      <c r="N516" s="7"/>
    </row>
    <row r="517" spans="1:14" ht="23.25" customHeight="1">
      <c r="A517" s="468" t="s">
        <v>284</v>
      </c>
      <c r="B517" s="469" t="s">
        <v>1170</v>
      </c>
      <c r="C517" s="473" t="s">
        <v>680</v>
      </c>
      <c r="D517" s="471"/>
      <c r="E517" s="472">
        <f>SUM(G519,G525,G531,G537)</f>
        <v>1</v>
      </c>
      <c r="F517" s="473"/>
      <c r="G517" s="505" t="str">
        <f>IF(H517&gt;=2,"Não se aplica",IF(I517&gt;=2,"Sem classificação",IF(F517=4,IF(E517&lt;=2,0,IF(E517&lt;=6,1,IF(E517&lt;=10,2,IF(E517&lt;=14,3,4)))),IF(F517=3,ROUND(AVERAGE(G519,G525,G531,G537),0),IF(F517=2,ROUNDDOWN(AVERAGE(G519,G525,G531,G537),0),"Não se aplica")))))</f>
        <v>Não se aplica</v>
      </c>
      <c r="H517" s="475">
        <f>COUNTIF(G519:G537,"Não se aplica")</f>
        <v>0</v>
      </c>
      <c r="I517" s="476"/>
      <c r="J517" s="22"/>
      <c r="K517" s="22"/>
      <c r="L517" s="22"/>
      <c r="M517" s="22"/>
      <c r="N517" s="7"/>
    </row>
    <row r="518" spans="1:14" ht="19.5" customHeight="1">
      <c r="A518" s="477" t="s">
        <v>18</v>
      </c>
      <c r="B518" s="478" t="s">
        <v>19</v>
      </c>
      <c r="C518" s="479"/>
      <c r="D518" s="480"/>
      <c r="E518" s="480"/>
      <c r="F518" s="481"/>
      <c r="G518" s="515"/>
      <c r="H518" s="507"/>
      <c r="I518" s="444"/>
      <c r="J518" s="30"/>
      <c r="K518" s="30"/>
      <c r="L518" s="30"/>
      <c r="M518" s="30"/>
      <c r="N518" s="7"/>
    </row>
    <row r="519" spans="1:14" ht="22.5" customHeight="1">
      <c r="A519" s="460" t="s">
        <v>1171</v>
      </c>
      <c r="B519" s="461" t="s">
        <v>1172</v>
      </c>
      <c r="C519" s="462" t="e">
        <f>VLOOKUP($B$3,[22]QATC22!$B$2:$BN$34,2,FALSE)</f>
        <v>#N/A</v>
      </c>
      <c r="D519" s="463"/>
      <c r="E519" s="463"/>
      <c r="F519" s="462"/>
      <c r="G519" s="508">
        <f>IF(COUNTIF(F520:F524,"Não se aplica")&gt;=2,"Não se aplica",IF(COUNTIF(F520:F524,"Sem classificação")&gt;=2,"Sem classificação",IF(COUNTIF(F520,"Atende")=1,4,IF(COUNTIF(F521,"Atende")=1,3,IF(COUNTIF(F522,"Atende")=1,2,IF(COUNTIF(F523,"Atende")=1,1,0))))))</f>
        <v>0</v>
      </c>
      <c r="H519" s="462"/>
      <c r="I519" s="465"/>
      <c r="J519" s="37"/>
      <c r="K519" s="37"/>
      <c r="L519" s="37"/>
      <c r="M519" s="37"/>
      <c r="N519" s="7"/>
    </row>
    <row r="520" spans="1:14" ht="63" customHeight="1">
      <c r="A520" s="477" t="s">
        <v>1173</v>
      </c>
      <c r="B520" s="384" t="s">
        <v>1174</v>
      </c>
      <c r="C520" s="454"/>
      <c r="D520" s="471"/>
      <c r="E520" s="471"/>
      <c r="F520" s="421"/>
      <c r="G520" s="456">
        <f t="shared" ref="G520:G524" si="61">IF(F520="Atende",1,0)</f>
        <v>0</v>
      </c>
      <c r="H520" s="565" t="s">
        <v>1175</v>
      </c>
      <c r="I520" s="384"/>
      <c r="J520" s="54"/>
      <c r="K520" s="54"/>
      <c r="L520" s="54"/>
      <c r="M520" s="54" t="s">
        <v>1176</v>
      </c>
      <c r="N520" s="7"/>
    </row>
    <row r="521" spans="1:14" ht="42.75" customHeight="1">
      <c r="A521" s="477" t="s">
        <v>1177</v>
      </c>
      <c r="B521" s="384" t="s">
        <v>1178</v>
      </c>
      <c r="C521" s="454"/>
      <c r="D521" s="471"/>
      <c r="E521" s="471"/>
      <c r="F521" s="421"/>
      <c r="G521" s="456">
        <f t="shared" si="61"/>
        <v>0</v>
      </c>
      <c r="H521" s="566"/>
      <c r="I521" s="384"/>
      <c r="J521" s="54"/>
      <c r="K521" s="54"/>
      <c r="L521" s="54"/>
      <c r="M521" s="54"/>
      <c r="N521" s="7"/>
    </row>
    <row r="522" spans="1:14" ht="27.75" customHeight="1">
      <c r="A522" s="477" t="s">
        <v>1179</v>
      </c>
      <c r="B522" s="384" t="s">
        <v>1180</v>
      </c>
      <c r="C522" s="454"/>
      <c r="D522" s="471"/>
      <c r="E522" s="471"/>
      <c r="F522" s="421"/>
      <c r="G522" s="456">
        <f t="shared" si="61"/>
        <v>0</v>
      </c>
      <c r="H522" s="566"/>
      <c r="I522" s="384"/>
      <c r="J522" s="54"/>
      <c r="K522" s="54"/>
      <c r="L522" s="54"/>
      <c r="M522" s="54"/>
      <c r="N522" s="7"/>
    </row>
    <row r="523" spans="1:14" ht="24" customHeight="1">
      <c r="A523" s="477" t="s">
        <v>1181</v>
      </c>
      <c r="B523" s="384" t="s">
        <v>1182</v>
      </c>
      <c r="C523" s="454"/>
      <c r="D523" s="471"/>
      <c r="E523" s="471"/>
      <c r="F523" s="421"/>
      <c r="G523" s="456">
        <f t="shared" si="61"/>
        <v>0</v>
      </c>
      <c r="H523" s="566"/>
      <c r="I523" s="384"/>
      <c r="J523" s="54"/>
      <c r="K523" s="54"/>
      <c r="L523" s="54"/>
      <c r="M523" s="54"/>
      <c r="N523" s="7"/>
    </row>
    <row r="524" spans="1:14" ht="42.75" customHeight="1">
      <c r="A524" s="477" t="s">
        <v>1183</v>
      </c>
      <c r="B524" s="384" t="s">
        <v>1184</v>
      </c>
      <c r="C524" s="454"/>
      <c r="D524" s="471"/>
      <c r="E524" s="471"/>
      <c r="F524" s="421" t="s">
        <v>1258</v>
      </c>
      <c r="G524" s="456">
        <f t="shared" si="61"/>
        <v>1</v>
      </c>
      <c r="H524" s="566"/>
      <c r="I524" s="352" t="s">
        <v>1916</v>
      </c>
      <c r="J524" s="54" t="s">
        <v>1956</v>
      </c>
      <c r="K524" s="54"/>
      <c r="L524" s="54"/>
      <c r="M524" s="54"/>
      <c r="N524" s="353" t="s">
        <v>1744</v>
      </c>
    </row>
    <row r="525" spans="1:14" ht="36" customHeight="1">
      <c r="A525" s="48" t="s">
        <v>1185</v>
      </c>
      <c r="B525" s="33" t="s">
        <v>1186</v>
      </c>
      <c r="C525" s="34" t="e">
        <f>VLOOKUP($B$3,[22]QATC22!$B$2:$BN$34,17,FALSE)</f>
        <v>#N/A</v>
      </c>
      <c r="D525" s="35"/>
      <c r="E525" s="35"/>
      <c r="F525" s="34"/>
      <c r="G525" s="97">
        <f>IF(COUNTIF(F526:F530,"Não se aplica")&gt;=2,"Não se aplica",IF(COUNTIF(F526:F530,"Sem classificação")&gt;=2,"Sem classificação",IF(COUNTIF(F526,"Atende")=1,4,IF(COUNTIF(F527,"Atende")=1,3,IF(COUNTIF(F528,"Atende")=1,2,IF(COUNTIF(F529,"Atende")=1,1,0))))))</f>
        <v>0</v>
      </c>
      <c r="H525" s="34"/>
      <c r="I525" s="174"/>
      <c r="J525" s="37"/>
      <c r="K525" s="37"/>
      <c r="L525" s="37"/>
      <c r="M525" s="37"/>
      <c r="N525" s="7"/>
    </row>
    <row r="526" spans="1:14" ht="47.25" customHeight="1">
      <c r="A526" s="54" t="s">
        <v>1187</v>
      </c>
      <c r="B526" s="39" t="s">
        <v>1188</v>
      </c>
      <c r="C526" s="40"/>
      <c r="D526" s="53"/>
      <c r="E526" s="53"/>
      <c r="F526" s="23"/>
      <c r="G526" s="42">
        <f t="shared" ref="G526:G530" si="62">IF(F526="Atende",1,0)</f>
        <v>0</v>
      </c>
      <c r="H526" s="564" t="s">
        <v>1175</v>
      </c>
      <c r="I526" s="39"/>
      <c r="J526" s="54"/>
      <c r="K526" s="54"/>
      <c r="L526" s="54"/>
      <c r="M526" s="54"/>
      <c r="N526" s="7"/>
    </row>
    <row r="527" spans="1:14" ht="55.5" customHeight="1">
      <c r="A527" s="54" t="s">
        <v>1189</v>
      </c>
      <c r="B527" s="39" t="s">
        <v>1190</v>
      </c>
      <c r="C527" s="40"/>
      <c r="D527" s="53"/>
      <c r="E527" s="53"/>
      <c r="F527" s="23"/>
      <c r="G527" s="42">
        <f t="shared" si="62"/>
        <v>0</v>
      </c>
      <c r="H527" s="557"/>
      <c r="I527" s="39"/>
      <c r="J527" s="54"/>
      <c r="K527" s="54"/>
      <c r="L527" s="54"/>
      <c r="M527" s="54"/>
      <c r="N527" s="7"/>
    </row>
    <row r="528" spans="1:14" ht="53.25" customHeight="1">
      <c r="A528" s="54" t="s">
        <v>1191</v>
      </c>
      <c r="B528" s="39" t="s">
        <v>1192</v>
      </c>
      <c r="C528" s="40"/>
      <c r="D528" s="53"/>
      <c r="E528" s="53"/>
      <c r="F528" s="23"/>
      <c r="G528" s="42">
        <f t="shared" si="62"/>
        <v>0</v>
      </c>
      <c r="H528" s="557"/>
      <c r="I528" s="39"/>
      <c r="J528" s="54"/>
      <c r="K528" s="54"/>
      <c r="L528" s="54"/>
      <c r="M528" s="54"/>
      <c r="N528" s="7"/>
    </row>
    <row r="529" spans="1:14" ht="33" customHeight="1">
      <c r="A529" s="54" t="s">
        <v>1193</v>
      </c>
      <c r="B529" s="39" t="s">
        <v>1194</v>
      </c>
      <c r="C529" s="40"/>
      <c r="D529" s="53"/>
      <c r="E529" s="53"/>
      <c r="F529" s="23"/>
      <c r="G529" s="42">
        <f t="shared" si="62"/>
        <v>0</v>
      </c>
      <c r="H529" s="557"/>
      <c r="I529" s="39"/>
      <c r="J529" s="54"/>
      <c r="K529" s="54"/>
      <c r="L529" s="54"/>
      <c r="M529" s="54"/>
      <c r="N529" s="7"/>
    </row>
    <row r="530" spans="1:14" ht="50.25" customHeight="1">
      <c r="A530" s="54" t="s">
        <v>1195</v>
      </c>
      <c r="B530" s="39" t="s">
        <v>1196</v>
      </c>
      <c r="C530" s="40"/>
      <c r="D530" s="53"/>
      <c r="E530" s="53"/>
      <c r="F530" s="23" t="s">
        <v>1258</v>
      </c>
      <c r="G530" s="42">
        <f t="shared" si="62"/>
        <v>1</v>
      </c>
      <c r="H530" s="557"/>
      <c r="I530" s="350" t="s">
        <v>1626</v>
      </c>
      <c r="J530" s="54" t="s">
        <v>1956</v>
      </c>
      <c r="K530" s="54"/>
      <c r="L530" s="54"/>
      <c r="M530" s="54"/>
      <c r="N530" s="353" t="s">
        <v>1745</v>
      </c>
    </row>
    <row r="531" spans="1:14" ht="28.5" customHeight="1">
      <c r="A531" s="48" t="s">
        <v>1197</v>
      </c>
      <c r="B531" s="33" t="s">
        <v>1198</v>
      </c>
      <c r="C531" s="34" t="e">
        <f>VLOOKUP($B$3,[22]QATC22!$B$2:$BN$34,38,FALSE)</f>
        <v>#N/A</v>
      </c>
      <c r="D531" s="155"/>
      <c r="E531" s="155"/>
      <c r="F531" s="37"/>
      <c r="G531" s="97">
        <f>IF(COUNTIF(F532:F536,"Não se aplica")&gt;=2,"Não se aplica",IF(COUNTIF(F532:F536,"Sem classificação")&gt;=2,"Sem classificação",IF(COUNTIF(F532,"Atende")=1,4,IF(COUNTIF(F533,"Atende")=1,3,IF(COUNTIF(F534,"Atende")=1,2,IF(COUNTIF(F535,"Atende")=1,1,0))))))</f>
        <v>0</v>
      </c>
      <c r="H531" s="37"/>
      <c r="I531" s="37"/>
      <c r="J531" s="37"/>
      <c r="K531" s="37"/>
      <c r="L531" s="37"/>
      <c r="M531" s="37"/>
      <c r="N531" s="7"/>
    </row>
    <row r="532" spans="1:14" ht="30" customHeight="1">
      <c r="A532" s="54" t="s">
        <v>1199</v>
      </c>
      <c r="B532" s="39" t="s">
        <v>1200</v>
      </c>
      <c r="C532" s="40"/>
      <c r="D532" s="53"/>
      <c r="E532" s="53"/>
      <c r="F532" s="23"/>
      <c r="G532" s="42">
        <f t="shared" ref="G532:G536" si="63">IF(F532="Atende",1,0)</f>
        <v>0</v>
      </c>
      <c r="H532" s="564" t="s">
        <v>1175</v>
      </c>
      <c r="I532" s="39"/>
      <c r="J532" s="30"/>
      <c r="K532" s="30"/>
      <c r="L532" s="30"/>
      <c r="M532" s="30"/>
      <c r="N532" s="7"/>
    </row>
    <row r="533" spans="1:14" ht="31.5" customHeight="1">
      <c r="A533" s="54" t="s">
        <v>1201</v>
      </c>
      <c r="B533" s="39" t="s">
        <v>1202</v>
      </c>
      <c r="C533" s="40"/>
      <c r="D533" s="53"/>
      <c r="E533" s="53"/>
      <c r="F533" s="23"/>
      <c r="G533" s="42">
        <f t="shared" si="63"/>
        <v>0</v>
      </c>
      <c r="H533" s="557"/>
      <c r="I533" s="39"/>
      <c r="J533" s="30"/>
      <c r="K533" s="30"/>
      <c r="L533" s="30"/>
      <c r="M533" s="30"/>
      <c r="N533" s="7"/>
    </row>
    <row r="534" spans="1:14" ht="30.75" customHeight="1">
      <c r="A534" s="54" t="s">
        <v>1203</v>
      </c>
      <c r="B534" s="39" t="s">
        <v>1204</v>
      </c>
      <c r="C534" s="40"/>
      <c r="D534" s="53"/>
      <c r="E534" s="53"/>
      <c r="F534" s="23"/>
      <c r="G534" s="42">
        <f t="shared" si="63"/>
        <v>0</v>
      </c>
      <c r="H534" s="557"/>
      <c r="I534" s="39"/>
      <c r="J534" s="30"/>
      <c r="K534" s="30"/>
      <c r="L534" s="30"/>
      <c r="M534" s="30"/>
      <c r="N534" s="7"/>
    </row>
    <row r="535" spans="1:14" ht="29.25" customHeight="1">
      <c r="A535" s="54" t="s">
        <v>1205</v>
      </c>
      <c r="B535" s="39" t="s">
        <v>1206</v>
      </c>
      <c r="C535" s="40"/>
      <c r="D535" s="53"/>
      <c r="E535" s="53"/>
      <c r="F535" s="23"/>
      <c r="G535" s="42">
        <f t="shared" si="63"/>
        <v>0</v>
      </c>
      <c r="H535" s="557"/>
      <c r="I535" s="39"/>
      <c r="J535" s="30"/>
      <c r="K535" s="30"/>
      <c r="L535" s="30"/>
      <c r="M535" s="30"/>
      <c r="N535" s="7"/>
    </row>
    <row r="536" spans="1:14" ht="70.5" customHeight="1">
      <c r="A536" s="54" t="s">
        <v>1207</v>
      </c>
      <c r="B536" s="39" t="s">
        <v>1208</v>
      </c>
      <c r="C536" s="40"/>
      <c r="D536" s="53"/>
      <c r="E536" s="53"/>
      <c r="F536" s="23"/>
      <c r="G536" s="42">
        <f t="shared" si="63"/>
        <v>0</v>
      </c>
      <c r="H536" s="557"/>
      <c r="I536" s="417" t="s">
        <v>1917</v>
      </c>
      <c r="J536" s="30"/>
      <c r="K536" s="30"/>
      <c r="L536" s="30"/>
      <c r="M536" s="30"/>
      <c r="N536" s="351" t="s">
        <v>1627</v>
      </c>
    </row>
    <row r="537" spans="1:14" ht="45" customHeight="1">
      <c r="A537" s="102" t="s">
        <v>1209</v>
      </c>
      <c r="B537" s="175" t="s">
        <v>1210</v>
      </c>
      <c r="C537" s="34" t="e">
        <f>VLOOKUP($B$3,[22]QATC22!$B$2:$BN$34,53,FALSE)</f>
        <v>#N/A</v>
      </c>
      <c r="D537" s="35"/>
      <c r="E537" s="35"/>
      <c r="F537" s="34"/>
      <c r="G537" s="36">
        <f>IF(COUNTIF(F538:F541,"Não se aplica")&gt;=2,"Não se aplica",IF(COUNTIF(F538:F541,"Sem classificação")&gt;=2,"Sem classificação",IF(COUNTIF(F538:F541,"Atende")=4,4,IF(COUNTIF(F538:F541,"Atende")=3,3,IF(COUNTIF(F538:F541,"Atende")=2,2,IF(COUNTIF(F538:F541,"Atende")=1,1,0))))))</f>
        <v>1</v>
      </c>
      <c r="H537" s="37"/>
      <c r="I537" s="416" t="s">
        <v>1628</v>
      </c>
      <c r="J537" s="37"/>
      <c r="K537" s="37"/>
      <c r="L537" s="37"/>
      <c r="M537" s="37"/>
      <c r="N537" s="2"/>
    </row>
    <row r="538" spans="1:14" ht="31.5" customHeight="1">
      <c r="A538" s="47" t="s">
        <v>1211</v>
      </c>
      <c r="B538" s="39" t="s">
        <v>1212</v>
      </c>
      <c r="C538" s="40"/>
      <c r="D538" s="41"/>
      <c r="E538" s="41"/>
      <c r="F538" s="23"/>
      <c r="G538" s="42">
        <f t="shared" ref="G538:G541" si="64">IF(F538="Atende",1,0)</f>
        <v>0</v>
      </c>
      <c r="H538" s="558" t="s">
        <v>1213</v>
      </c>
      <c r="I538" s="39"/>
      <c r="J538" s="176"/>
      <c r="K538" s="176"/>
      <c r="L538" s="176"/>
      <c r="M538" s="176"/>
      <c r="N538" s="2"/>
    </row>
    <row r="539" spans="1:14" ht="42.75" customHeight="1">
      <c r="A539" s="47" t="s">
        <v>1214</v>
      </c>
      <c r="B539" s="39" t="s">
        <v>1215</v>
      </c>
      <c r="C539" s="40"/>
      <c r="D539" s="41"/>
      <c r="E539" s="41"/>
      <c r="F539" s="23"/>
      <c r="G539" s="42">
        <f t="shared" si="64"/>
        <v>0</v>
      </c>
      <c r="H539" s="557"/>
      <c r="I539" s="39"/>
      <c r="J539" s="176"/>
      <c r="K539" s="176"/>
      <c r="L539" s="176"/>
      <c r="M539" s="176"/>
      <c r="N539" s="2"/>
    </row>
    <row r="540" spans="1:14" ht="40.5" customHeight="1">
      <c r="A540" s="47" t="s">
        <v>1216</v>
      </c>
      <c r="B540" s="39" t="s">
        <v>1217</v>
      </c>
      <c r="C540" s="40"/>
      <c r="D540" s="41"/>
      <c r="E540" s="41"/>
      <c r="F540" s="23"/>
      <c r="G540" s="42">
        <f t="shared" si="64"/>
        <v>0</v>
      </c>
      <c r="H540" s="557"/>
      <c r="I540" s="39"/>
      <c r="J540" s="176"/>
      <c r="K540" s="176"/>
      <c r="L540" s="176"/>
      <c r="M540" s="176"/>
      <c r="N540" s="2"/>
    </row>
    <row r="541" spans="1:14" ht="30" customHeight="1">
      <c r="A541" s="47" t="s">
        <v>1218</v>
      </c>
      <c r="B541" s="154" t="s">
        <v>1219</v>
      </c>
      <c r="C541" s="40"/>
      <c r="D541" s="41"/>
      <c r="E541" s="41"/>
      <c r="F541" s="23" t="s">
        <v>1258</v>
      </c>
      <c r="G541" s="42">
        <f t="shared" si="64"/>
        <v>1</v>
      </c>
      <c r="H541" s="557"/>
      <c r="I541" s="384" t="s">
        <v>1918</v>
      </c>
      <c r="J541" s="176" t="s">
        <v>1956</v>
      </c>
      <c r="K541" s="176"/>
      <c r="L541" s="176"/>
      <c r="M541" s="176"/>
      <c r="N541" s="2"/>
    </row>
    <row r="542" spans="1:14" ht="28.5" customHeight="1">
      <c r="A542" s="91" t="s">
        <v>302</v>
      </c>
      <c r="B542" s="52" t="s">
        <v>1220</v>
      </c>
      <c r="C542" s="13" t="s">
        <v>1065</v>
      </c>
      <c r="D542" s="53"/>
      <c r="E542" s="17">
        <f>SUM(G544,G549,G555)</f>
        <v>7</v>
      </c>
      <c r="F542" s="158"/>
      <c r="G542" s="19" t="str">
        <f>IF(H542&gt;=2,"Não se aplica",IF(I542&gt;=2,"Sem classificação",IF(F542=4,IF(E542&lt;=2,0,IF(E542&lt;=6,1,IF(E542&lt;=10,2,IF(E542&lt;=14,3,4)))),IF(F542=3,ROUND(AVERAGE(G544,G549,G555),0),IF(F542=2,ROUNDDOWN(AVERAGE(G544,G549,G555),0),"Não se aplica")))))</f>
        <v>Não se aplica</v>
      </c>
      <c r="H542" s="20">
        <f>COUNTIF(G544:G555,"Não se aplica")</f>
        <v>0</v>
      </c>
      <c r="I542" s="21"/>
      <c r="J542" s="22"/>
      <c r="K542" s="22"/>
      <c r="L542" s="22"/>
      <c r="M542" s="22"/>
      <c r="N542" s="2"/>
    </row>
    <row r="543" spans="1:14" ht="24" customHeight="1">
      <c r="A543" s="54" t="s">
        <v>18</v>
      </c>
      <c r="B543" s="55" t="s">
        <v>19</v>
      </c>
      <c r="C543" s="25"/>
      <c r="D543" s="26"/>
      <c r="E543" s="26"/>
      <c r="F543" s="27"/>
      <c r="G543" s="28"/>
      <c r="H543" s="29"/>
      <c r="I543" s="30"/>
      <c r="J543" s="30"/>
      <c r="K543" s="30"/>
      <c r="L543" s="30"/>
      <c r="M543" s="30"/>
      <c r="N543" s="2"/>
    </row>
    <row r="544" spans="1:14" ht="23.25" customHeight="1">
      <c r="A544" s="48" t="s">
        <v>1221</v>
      </c>
      <c r="B544" s="177" t="s">
        <v>1222</v>
      </c>
      <c r="C544" s="34" t="e">
        <f>VLOOKUP($B$3,[23]QATC23!$B$2:$AS$34,2,FALSE)</f>
        <v>#N/A</v>
      </c>
      <c r="D544" s="35"/>
      <c r="E544" s="35"/>
      <c r="F544" s="34"/>
      <c r="G544" s="97">
        <f>IF(COUNTIF(F545:F548,"Não se aplica")&gt;=2,"Não se aplica",IF(COUNTIF(F545:F548,"Sem classificação")&gt;=2,"Sem classificação",IF(COUNTIF(F545:F548,"Atende")=4,4,IF(COUNTIF(F545:F548,"Atende")=3,3,IF(COUNTIF(F545:F548,"Atende")=2,2,IF(COUNTIF(F545:F548,"Atende")=1,1,0))))))</f>
        <v>3</v>
      </c>
      <c r="H544" s="34"/>
      <c r="I544" s="37"/>
      <c r="J544" s="37"/>
      <c r="K544" s="37"/>
      <c r="L544" s="37"/>
      <c r="M544" s="37"/>
      <c r="N544" s="2"/>
    </row>
    <row r="545" spans="1:14" ht="42" customHeight="1">
      <c r="A545" s="47" t="s">
        <v>1223</v>
      </c>
      <c r="B545" s="387" t="s">
        <v>1224</v>
      </c>
      <c r="C545" s="40"/>
      <c r="D545" s="41"/>
      <c r="E545" s="41"/>
      <c r="F545" s="23"/>
      <c r="G545" s="42">
        <f t="shared" ref="G545:G548" si="65">IF(F545="Atende",1,0)</f>
        <v>0</v>
      </c>
      <c r="H545" s="561" t="s">
        <v>1225</v>
      </c>
      <c r="I545" s="434"/>
      <c r="J545" s="178"/>
      <c r="K545" s="178"/>
      <c r="L545" s="178"/>
      <c r="M545" s="178"/>
      <c r="N545" s="2"/>
    </row>
    <row r="546" spans="1:14" ht="147" customHeight="1">
      <c r="A546" s="47" t="s">
        <v>1226</v>
      </c>
      <c r="B546" s="39" t="s">
        <v>1227</v>
      </c>
      <c r="C546" s="40"/>
      <c r="D546" s="41"/>
      <c r="E546" s="41"/>
      <c r="F546" s="23" t="s">
        <v>1258</v>
      </c>
      <c r="G546" s="42">
        <f t="shared" si="65"/>
        <v>1</v>
      </c>
      <c r="H546" s="557"/>
      <c r="I546" s="366" t="s">
        <v>1920</v>
      </c>
      <c r="J546" s="178" t="s">
        <v>1956</v>
      </c>
      <c r="K546" s="178"/>
      <c r="L546" s="178"/>
      <c r="M546" s="178"/>
      <c r="N546" s="2"/>
    </row>
    <row r="547" spans="1:14" ht="42.75" customHeight="1">
      <c r="A547" s="47" t="s">
        <v>1228</v>
      </c>
      <c r="B547" s="39" t="s">
        <v>1229</v>
      </c>
      <c r="C547" s="40"/>
      <c r="D547" s="41"/>
      <c r="E547" s="41"/>
      <c r="F547" s="23" t="s">
        <v>1258</v>
      </c>
      <c r="G547" s="42">
        <f t="shared" si="65"/>
        <v>1</v>
      </c>
      <c r="H547" s="557"/>
      <c r="I547" s="355" t="s">
        <v>1919</v>
      </c>
      <c r="J547" s="178" t="s">
        <v>1956</v>
      </c>
      <c r="K547" s="178"/>
      <c r="L547" s="178"/>
      <c r="M547" s="178"/>
      <c r="N547" s="376" t="s">
        <v>1869</v>
      </c>
    </row>
    <row r="548" spans="1:14" ht="150" customHeight="1">
      <c r="A548" s="47" t="s">
        <v>1230</v>
      </c>
      <c r="B548" s="172" t="s">
        <v>1231</v>
      </c>
      <c r="C548" s="40"/>
      <c r="D548" s="41"/>
      <c r="E548" s="41"/>
      <c r="F548" s="23" t="s">
        <v>1258</v>
      </c>
      <c r="G548" s="42">
        <f t="shared" si="65"/>
        <v>1</v>
      </c>
      <c r="H548" s="557"/>
      <c r="I548" s="436" t="s">
        <v>1921</v>
      </c>
      <c r="J548" s="178" t="s">
        <v>1956</v>
      </c>
      <c r="K548" s="178"/>
      <c r="L548" s="178"/>
      <c r="M548" s="178"/>
      <c r="N548" s="376" t="s">
        <v>1869</v>
      </c>
    </row>
    <row r="549" spans="1:14" ht="30" customHeight="1">
      <c r="A549" s="48" t="s">
        <v>1232</v>
      </c>
      <c r="B549" s="33" t="s">
        <v>1233</v>
      </c>
      <c r="C549" s="34" t="e">
        <f>VLOOKUP($B$3,[23]QATC23!$B$2:$AS$34,21,FALSE)</f>
        <v>#N/A</v>
      </c>
      <c r="D549" s="35"/>
      <c r="E549" s="35"/>
      <c r="F549" s="37"/>
      <c r="G549" s="97">
        <f>IF(COUNTIF(F550:F554,"Não se aplica")&gt;=2,"Não se aplica",IF(COUNTIF(F550:F554,"Sem classificação")&gt;=2,"Sem classificação",IF(COUNTIF(F550:F554,"Atende")=5,4,IF(COUNTIF(F550:F554,"Atende")=4,3,IF(COUNTIF(F550:F554,"Atende")&gt;=2,2,IF(COUNTIF(F550:F554,"Atende")=1,1,0))))))</f>
        <v>1</v>
      </c>
      <c r="H549" s="37"/>
      <c r="I549" s="179"/>
      <c r="J549" s="37"/>
      <c r="K549" s="37"/>
      <c r="L549" s="37"/>
      <c r="M549" s="37"/>
      <c r="N549" s="2"/>
    </row>
    <row r="550" spans="1:14" ht="32.25" customHeight="1">
      <c r="A550" s="47" t="s">
        <v>1234</v>
      </c>
      <c r="B550" s="39" t="s">
        <v>1235</v>
      </c>
      <c r="C550" s="40"/>
      <c r="D550" s="41"/>
      <c r="E550" s="41"/>
      <c r="F550" s="23"/>
      <c r="G550" s="42">
        <f t="shared" ref="G550:G554" si="66">IF(F550="Atende",1,0)</f>
        <v>0</v>
      </c>
      <c r="H550" s="561" t="s">
        <v>1236</v>
      </c>
      <c r="I550" s="39"/>
      <c r="J550" s="30"/>
      <c r="K550" s="30"/>
      <c r="L550" s="30"/>
      <c r="M550" s="30"/>
      <c r="N550" s="2"/>
    </row>
    <row r="551" spans="1:14" ht="44.25" customHeight="1">
      <c r="A551" s="47" t="s">
        <v>1237</v>
      </c>
      <c r="B551" s="39" t="s">
        <v>1238</v>
      </c>
      <c r="C551" s="40"/>
      <c r="D551" s="41"/>
      <c r="E551" s="41"/>
      <c r="F551" s="23"/>
      <c r="G551" s="42">
        <f t="shared" si="66"/>
        <v>0</v>
      </c>
      <c r="H551" s="557"/>
      <c r="I551" s="39"/>
      <c r="J551" s="30"/>
      <c r="K551" s="30"/>
      <c r="L551" s="30"/>
      <c r="M551" s="30"/>
      <c r="N551" s="2"/>
    </row>
    <row r="552" spans="1:14" ht="42.75" customHeight="1">
      <c r="A552" s="47" t="s">
        <v>1239</v>
      </c>
      <c r="B552" s="39" t="s">
        <v>1240</v>
      </c>
      <c r="C552" s="40"/>
      <c r="D552" s="41"/>
      <c r="E552" s="41"/>
      <c r="F552" s="23"/>
      <c r="G552" s="42">
        <f t="shared" si="66"/>
        <v>0</v>
      </c>
      <c r="H552" s="557"/>
      <c r="I552" s="39"/>
      <c r="J552" s="30"/>
      <c r="K552" s="30"/>
      <c r="L552" s="30"/>
      <c r="M552" s="30"/>
      <c r="N552" s="2"/>
    </row>
    <row r="553" spans="1:14" ht="42.75" customHeight="1">
      <c r="A553" s="47" t="s">
        <v>1241</v>
      </c>
      <c r="B553" s="39" t="s">
        <v>1242</v>
      </c>
      <c r="C553" s="40"/>
      <c r="D553" s="41"/>
      <c r="E553" s="41"/>
      <c r="F553" s="23" t="s">
        <v>1258</v>
      </c>
      <c r="G553" s="42">
        <f t="shared" si="66"/>
        <v>1</v>
      </c>
      <c r="H553" s="557"/>
      <c r="I553" s="356" t="s">
        <v>1922</v>
      </c>
      <c r="J553" s="30" t="s">
        <v>1956</v>
      </c>
      <c r="K553" s="30"/>
      <c r="L553" s="30"/>
      <c r="M553" s="30"/>
      <c r="N553" s="2" t="s">
        <v>1870</v>
      </c>
    </row>
    <row r="554" spans="1:14" ht="26.25" customHeight="1">
      <c r="A554" s="47" t="s">
        <v>1243</v>
      </c>
      <c r="B554" s="39" t="s">
        <v>1244</v>
      </c>
      <c r="C554" s="40"/>
      <c r="D554" s="41"/>
      <c r="E554" s="41"/>
      <c r="F554" s="23"/>
      <c r="G554" s="42">
        <f t="shared" si="66"/>
        <v>0</v>
      </c>
      <c r="H554" s="557"/>
      <c r="I554" s="348"/>
      <c r="J554" s="30"/>
      <c r="K554" s="30"/>
      <c r="L554" s="30"/>
      <c r="M554" s="30"/>
      <c r="N554" s="2"/>
    </row>
    <row r="555" spans="1:14" ht="29.25" customHeight="1">
      <c r="A555" s="48" t="s">
        <v>1245</v>
      </c>
      <c r="B555" s="33" t="s">
        <v>1246</v>
      </c>
      <c r="C555" s="34" t="e">
        <f>VLOOKUP($B$3,[23]QATC23!$B$2:$AS$34,30,FALSE)</f>
        <v>#N/A</v>
      </c>
      <c r="D555" s="35"/>
      <c r="E555" s="35"/>
      <c r="F555" s="37"/>
      <c r="G555" s="97">
        <f>IF(COUNTIF(F556:F559,"Não se aplica")&gt;=2,"Não se aplica",IF(COUNTIF(F556:F559,"Sem classificação")&gt;=2,"Sem classificação",IF(COUNTIF(F556:F559,"Atende")=4,4,IF(COUNTIF(F556:F559,"Atende")=3,3,IF(COUNTIF(F556:F559,"Atende")=2,2,IF(COUNTIF(F556:F559,"Atende")=1,1,0))))))</f>
        <v>3</v>
      </c>
      <c r="H555" s="34"/>
      <c r="I555" s="37"/>
      <c r="J555" s="37"/>
      <c r="K555" s="37"/>
      <c r="L555" s="37"/>
      <c r="M555" s="37"/>
      <c r="N555" s="2"/>
    </row>
    <row r="556" spans="1:14" ht="47.25" customHeight="1">
      <c r="A556" s="47" t="s">
        <v>1247</v>
      </c>
      <c r="B556" s="39" t="s">
        <v>1248</v>
      </c>
      <c r="C556" s="40"/>
      <c r="D556" s="41"/>
      <c r="E556" s="41"/>
      <c r="F556" s="23" t="s">
        <v>1258</v>
      </c>
      <c r="G556" s="42">
        <f t="shared" ref="G556:G559" si="67">IF(F556="Atende",1,0)</f>
        <v>1</v>
      </c>
      <c r="H556" s="561" t="s">
        <v>1249</v>
      </c>
      <c r="I556" s="358" t="s">
        <v>1633</v>
      </c>
      <c r="J556" s="54" t="s">
        <v>1956</v>
      </c>
      <c r="K556" s="54"/>
      <c r="L556" s="54"/>
      <c r="M556" s="54"/>
      <c r="N556" s="2"/>
    </row>
    <row r="557" spans="1:14" ht="45.75" customHeight="1">
      <c r="A557" s="47" t="s">
        <v>1250</v>
      </c>
      <c r="B557" s="39" t="s">
        <v>1251</v>
      </c>
      <c r="C557" s="40"/>
      <c r="D557" s="41"/>
      <c r="E557" s="41"/>
      <c r="F557" s="23" t="s">
        <v>1258</v>
      </c>
      <c r="G557" s="42">
        <f t="shared" si="67"/>
        <v>1</v>
      </c>
      <c r="H557" s="557"/>
      <c r="I557" s="357" t="s">
        <v>1923</v>
      </c>
      <c r="J557" s="54" t="s">
        <v>1956</v>
      </c>
      <c r="K557" s="54"/>
      <c r="L557" s="54"/>
      <c r="M557" s="54"/>
      <c r="N557" s="376" t="s">
        <v>1871</v>
      </c>
    </row>
    <row r="558" spans="1:14" ht="35.25" customHeight="1">
      <c r="A558" s="47" t="s">
        <v>1252</v>
      </c>
      <c r="B558" s="39" t="s">
        <v>1253</v>
      </c>
      <c r="C558" s="40"/>
      <c r="D558" s="41"/>
      <c r="E558" s="41"/>
      <c r="F558" s="23" t="s">
        <v>1258</v>
      </c>
      <c r="G558" s="42">
        <f t="shared" si="67"/>
        <v>1</v>
      </c>
      <c r="H558" s="557"/>
      <c r="I558" s="437" t="s">
        <v>1924</v>
      </c>
      <c r="J558" s="54" t="s">
        <v>1956</v>
      </c>
      <c r="K558" s="54"/>
      <c r="L558" s="54"/>
      <c r="M558" s="54"/>
      <c r="N558" s="376" t="s">
        <v>1871</v>
      </c>
    </row>
    <row r="559" spans="1:14" ht="33.75" customHeight="1">
      <c r="A559" s="180" t="s">
        <v>1254</v>
      </c>
      <c r="B559" s="173" t="s">
        <v>1255</v>
      </c>
      <c r="C559" s="181"/>
      <c r="D559" s="182"/>
      <c r="E559" s="182"/>
      <c r="F559" s="23"/>
      <c r="G559" s="42">
        <f t="shared" si="67"/>
        <v>0</v>
      </c>
      <c r="H559" s="557"/>
      <c r="I559" s="39"/>
      <c r="J559" s="54"/>
      <c r="K559" s="54"/>
      <c r="L559" s="54"/>
      <c r="M559" s="54"/>
      <c r="N559" s="2"/>
    </row>
    <row r="560" spans="1:14" ht="24.75" customHeight="1">
      <c r="A560" s="15" t="s">
        <v>1256</v>
      </c>
      <c r="B560" s="183" t="s">
        <v>1257</v>
      </c>
      <c r="C560" s="16"/>
      <c r="D560" s="16"/>
      <c r="E560" s="17">
        <f>SUM(G562,G568,G572)</f>
        <v>3</v>
      </c>
      <c r="F560" s="158"/>
      <c r="G560" s="19" t="str">
        <f>IF(H560&gt;=2,"Não se aplica",IF(I560&gt;=2,"Sem classificação",IF(F560=4,IF(E560&lt;=2,0,IF(E560&lt;=6,1,IF(E560&lt;=10,2,IF(E560&lt;=14,3,4)))),IF(F560=3,ROUND(AVERAGE(G562,G568,G572),0),IF(F560=2,ROUNDDOWN(AVERAGE(G562,G568,G572),0),"Não se aplica")))))</f>
        <v>Não se aplica</v>
      </c>
      <c r="H560" s="20">
        <f>COUNTIF(G562:G572,"Não se aplica")</f>
        <v>0</v>
      </c>
      <c r="I560" s="21"/>
      <c r="J560" s="22"/>
      <c r="K560" s="22"/>
      <c r="L560" s="22"/>
      <c r="M560" s="22"/>
      <c r="N560" s="2"/>
    </row>
    <row r="561" spans="1:14" ht="22.5" customHeight="1">
      <c r="A561" s="25" t="s">
        <v>18</v>
      </c>
      <c r="B561" s="24" t="s">
        <v>19</v>
      </c>
      <c r="C561" s="25"/>
      <c r="D561" s="25"/>
      <c r="E561" s="56" t="s">
        <v>1258</v>
      </c>
      <c r="F561" s="28"/>
      <c r="G561" s="29"/>
      <c r="H561" s="184"/>
      <c r="I561" s="54"/>
      <c r="J561" s="54"/>
      <c r="K561" s="54"/>
      <c r="L561" s="54"/>
      <c r="M561" s="54"/>
      <c r="N561" s="2"/>
    </row>
    <row r="562" spans="1:14" ht="30" customHeight="1">
      <c r="A562" s="32" t="s">
        <v>1259</v>
      </c>
      <c r="B562" s="185" t="s">
        <v>1260</v>
      </c>
      <c r="C562" s="34" t="e">
        <f>VLOOKUP($B$3,[24]QATC24!$B$2:$AQ$34,2,FALSE)</f>
        <v>#N/A</v>
      </c>
      <c r="D562" s="34"/>
      <c r="E562" s="37"/>
      <c r="F562" s="97"/>
      <c r="G562" s="97">
        <f>IF(COUNTIF(F563:F567,"Não se aplica")&gt;=2,"Não se aplica",IF(COUNTIF(F563:F567,"Sem classificação")&gt;=2,"Sem classificação",IF(COUNTIF(F563:F567,"Atende")=5,4,IF(COUNTIF(F563:F567,"Atende")=4,3,IF(COUNTIF(F563:F567,"Atende")&gt;=2,2,IF(COUNTIF(F563:F567,"Atende")=1,1,0))))))</f>
        <v>1</v>
      </c>
      <c r="H562" s="34"/>
      <c r="I562" s="34"/>
      <c r="J562" s="34"/>
      <c r="K562" s="34"/>
      <c r="L562" s="34"/>
      <c r="M562" s="34"/>
      <c r="N562" s="2"/>
    </row>
    <row r="563" spans="1:14" ht="40.5" customHeight="1">
      <c r="A563" s="23" t="s">
        <v>1261</v>
      </c>
      <c r="B563" s="39" t="s">
        <v>1262</v>
      </c>
      <c r="C563" s="40"/>
      <c r="D563" s="40"/>
      <c r="E563" s="23"/>
      <c r="F563" s="23" t="s">
        <v>1258</v>
      </c>
      <c r="G563" s="42">
        <f t="shared" ref="G563:G567" si="68">IF(F563="Atende",1,0)</f>
        <v>1</v>
      </c>
      <c r="H563" s="564" t="s">
        <v>1263</v>
      </c>
      <c r="I563" s="359" t="s">
        <v>1615</v>
      </c>
      <c r="J563" s="54" t="s">
        <v>1956</v>
      </c>
      <c r="K563" s="54"/>
      <c r="L563" s="54"/>
      <c r="M563" s="54"/>
      <c r="N563" s="376" t="s">
        <v>1746</v>
      </c>
    </row>
    <row r="564" spans="1:14" ht="25.5" customHeight="1">
      <c r="A564" s="23" t="s">
        <v>1264</v>
      </c>
      <c r="B564" s="39" t="s">
        <v>1265</v>
      </c>
      <c r="C564" s="40"/>
      <c r="D564" s="40"/>
      <c r="E564" s="23"/>
      <c r="F564" s="23"/>
      <c r="G564" s="42">
        <f t="shared" si="68"/>
        <v>0</v>
      </c>
      <c r="H564" s="557"/>
      <c r="I564" s="39"/>
      <c r="J564" s="54"/>
      <c r="K564" s="54"/>
      <c r="L564" s="54"/>
      <c r="M564" s="54"/>
      <c r="N564" s="2"/>
    </row>
    <row r="565" spans="1:14" ht="27" customHeight="1">
      <c r="A565" s="23" t="s">
        <v>1266</v>
      </c>
      <c r="B565" s="154" t="s">
        <v>1267</v>
      </c>
      <c r="C565" s="40"/>
      <c r="D565" s="40"/>
      <c r="E565" s="23"/>
      <c r="F565" s="23"/>
      <c r="G565" s="42">
        <f t="shared" si="68"/>
        <v>0</v>
      </c>
      <c r="H565" s="557"/>
      <c r="I565" s="39"/>
      <c r="J565" s="54"/>
      <c r="K565" s="54"/>
      <c r="L565" s="54"/>
      <c r="M565" s="54"/>
      <c r="N565" s="2"/>
    </row>
    <row r="566" spans="1:14" ht="37.5" customHeight="1">
      <c r="A566" s="23" t="s">
        <v>1268</v>
      </c>
      <c r="B566" s="154" t="s">
        <v>1269</v>
      </c>
      <c r="C566" s="40"/>
      <c r="D566" s="40"/>
      <c r="E566" s="23"/>
      <c r="F566" s="23"/>
      <c r="G566" s="42">
        <f t="shared" si="68"/>
        <v>0</v>
      </c>
      <c r="H566" s="557"/>
      <c r="I566" s="39"/>
      <c r="J566" s="54"/>
      <c r="K566" s="54"/>
      <c r="L566" s="54"/>
      <c r="M566" s="54"/>
      <c r="N566" s="2"/>
    </row>
    <row r="567" spans="1:14" ht="28.5" customHeight="1">
      <c r="A567" s="23" t="s">
        <v>1270</v>
      </c>
      <c r="B567" s="39" t="s">
        <v>1271</v>
      </c>
      <c r="C567" s="40"/>
      <c r="D567" s="40"/>
      <c r="E567" s="23"/>
      <c r="F567" s="23"/>
      <c r="G567" s="42">
        <f t="shared" si="68"/>
        <v>0</v>
      </c>
      <c r="H567" s="557"/>
      <c r="I567" s="39"/>
      <c r="J567" s="54"/>
      <c r="K567" s="54"/>
      <c r="L567" s="54"/>
      <c r="M567" s="54"/>
      <c r="N567" s="2"/>
    </row>
    <row r="568" spans="1:14" ht="27.75" customHeight="1">
      <c r="A568" s="186" t="s">
        <v>1272</v>
      </c>
      <c r="B568" s="185" t="s">
        <v>1273</v>
      </c>
      <c r="C568" s="34" t="e">
        <f>VLOOKUP($B$3,[24]QATC24!$B$2:$AQ$34,21,FALSE)</f>
        <v>#N/A</v>
      </c>
      <c r="D568" s="34"/>
      <c r="E568" s="34"/>
      <c r="F568" s="97"/>
      <c r="G568" s="36">
        <f>IF(COUNTIF(F569:F571,"Não se aplica")&gt;=2,"Não se aplica",IF(COUNTIF(F569:F571,"Sem classificação")&gt;=2,"Sem classificação",IF(COUNTIF(F569:F571,"Atende")=3,4,IF(AND(COUNTIF(F569:F571,"Atende")=3,(COUNTIF(E569:E571,"Atende")&gt;=2)),3,IF(COUNTIF(F569:F571,"Atende")=3,2,IF(COUNTIF(F569:F571,"Atende")&gt;=1,1,0))))))</f>
        <v>1</v>
      </c>
      <c r="H568" s="37"/>
      <c r="I568" s="97"/>
      <c r="J568" s="34"/>
      <c r="K568" s="34"/>
      <c r="L568" s="34"/>
      <c r="M568" s="34"/>
      <c r="N568" s="2"/>
    </row>
    <row r="569" spans="1:14" ht="71.25" customHeight="1">
      <c r="A569" s="23" t="s">
        <v>1274</v>
      </c>
      <c r="B569" s="160" t="s">
        <v>1275</v>
      </c>
      <c r="C569" s="40"/>
      <c r="D569" s="187"/>
      <c r="E569" s="23"/>
      <c r="F569" s="23" t="s">
        <v>1258</v>
      </c>
      <c r="G569" s="42">
        <f t="shared" ref="G569:G571" si="69">IF(F569="Atende",1,0)</f>
        <v>1</v>
      </c>
      <c r="H569" s="562" t="s">
        <v>1276</v>
      </c>
      <c r="I569" s="360" t="s">
        <v>1747</v>
      </c>
      <c r="J569" s="54" t="s">
        <v>1956</v>
      </c>
      <c r="K569" s="54"/>
      <c r="L569" s="54"/>
      <c r="M569" s="54"/>
      <c r="N569" s="353" t="s">
        <v>1748</v>
      </c>
    </row>
    <row r="570" spans="1:14" ht="157.5" customHeight="1">
      <c r="A570" s="23" t="s">
        <v>1277</v>
      </c>
      <c r="B570" s="188" t="s">
        <v>1278</v>
      </c>
      <c r="C570" s="40"/>
      <c r="D570" s="187"/>
      <c r="E570" s="23"/>
      <c r="F570" s="23"/>
      <c r="G570" s="42">
        <f t="shared" si="69"/>
        <v>0</v>
      </c>
      <c r="H570" s="557"/>
      <c r="I570" s="432" t="s">
        <v>1878</v>
      </c>
      <c r="J570" s="54"/>
      <c r="K570" s="54"/>
      <c r="L570" s="54"/>
      <c r="M570" s="54"/>
      <c r="N570" s="2"/>
    </row>
    <row r="571" spans="1:14" ht="40.5" customHeight="1">
      <c r="A571" s="23" t="s">
        <v>1279</v>
      </c>
      <c r="B571" s="154" t="s">
        <v>1280</v>
      </c>
      <c r="C571" s="40"/>
      <c r="D571" s="187"/>
      <c r="E571" s="23"/>
      <c r="F571" s="23" t="s">
        <v>1258</v>
      </c>
      <c r="G571" s="42">
        <f t="shared" si="69"/>
        <v>1</v>
      </c>
      <c r="H571" s="557"/>
      <c r="I571" s="360" t="s">
        <v>1634</v>
      </c>
      <c r="J571" s="54" t="s">
        <v>1956</v>
      </c>
      <c r="K571" s="54"/>
      <c r="L571" s="54"/>
      <c r="M571" s="54"/>
      <c r="N571" s="353" t="s">
        <v>1748</v>
      </c>
    </row>
    <row r="572" spans="1:14" ht="26.25" customHeight="1">
      <c r="A572" s="32" t="s">
        <v>1281</v>
      </c>
      <c r="B572" s="189" t="s">
        <v>1282</v>
      </c>
      <c r="C572" s="34" t="e">
        <f>VLOOKUP($B$3,[24]QATC24!$B$2:$AQ$34,30,FALSE)</f>
        <v>#N/A</v>
      </c>
      <c r="D572" s="34"/>
      <c r="E572" s="34"/>
      <c r="F572" s="190"/>
      <c r="G572" s="97">
        <f>IF(COUNTIF(F573:F578,"Não se aplica")&gt;=2,"Não se aplica",IF(COUNTIF(F573:F578,"Sem classificação")&gt;=2,"Sem classificação",IF(COUNTIF(F573:F578,"Atende")=6,4,IF(COUNTIF(F573:F578,"Atende")=5,3,IF(COUNTIF(F573:F578,"Atende")&gt;=3,2,IF(COUNTIF(F573:F578,"Atende")&gt;=1,1,0))))))</f>
        <v>1</v>
      </c>
      <c r="H572" s="37"/>
      <c r="I572" s="37"/>
      <c r="J572" s="37"/>
      <c r="K572" s="37"/>
      <c r="L572" s="37"/>
      <c r="M572" s="37"/>
      <c r="N572" s="2"/>
    </row>
    <row r="573" spans="1:14" ht="24" customHeight="1">
      <c r="A573" s="38" t="s">
        <v>1283</v>
      </c>
      <c r="B573" s="191" t="s">
        <v>1284</v>
      </c>
      <c r="C573" s="40"/>
      <c r="D573" s="192"/>
      <c r="E573" s="38"/>
      <c r="F573" s="23"/>
      <c r="G573" s="42">
        <f t="shared" ref="G573:G578" si="70">IF(F573="Atende",1,0)</f>
        <v>0</v>
      </c>
      <c r="H573" s="561" t="s">
        <v>1285</v>
      </c>
      <c r="I573" s="431"/>
      <c r="J573" s="54"/>
      <c r="K573" s="54"/>
      <c r="L573" s="54"/>
      <c r="M573" s="54"/>
      <c r="N573" s="2"/>
    </row>
    <row r="574" spans="1:14" ht="54.75" customHeight="1">
      <c r="A574" s="38" t="s">
        <v>1286</v>
      </c>
      <c r="B574" s="188" t="s">
        <v>1287</v>
      </c>
      <c r="C574" s="40"/>
      <c r="D574" s="187"/>
      <c r="E574" s="38"/>
      <c r="F574" s="23"/>
      <c r="G574" s="42">
        <f t="shared" si="70"/>
        <v>0</v>
      </c>
      <c r="H574" s="557"/>
      <c r="I574" s="431"/>
      <c r="J574" s="54"/>
      <c r="K574" s="54"/>
      <c r="L574" s="54"/>
      <c r="M574" s="54"/>
      <c r="N574" s="2"/>
    </row>
    <row r="575" spans="1:14" ht="51" customHeight="1">
      <c r="A575" s="38" t="s">
        <v>1288</v>
      </c>
      <c r="B575" s="39" t="s">
        <v>1289</v>
      </c>
      <c r="C575" s="40"/>
      <c r="D575" s="187"/>
      <c r="E575" s="38"/>
      <c r="F575" s="23" t="s">
        <v>1258</v>
      </c>
      <c r="G575" s="42">
        <f t="shared" si="70"/>
        <v>1</v>
      </c>
      <c r="H575" s="557"/>
      <c r="I575" s="375" t="s">
        <v>1875</v>
      </c>
      <c r="J575" s="54" t="s">
        <v>1956</v>
      </c>
      <c r="K575" s="54"/>
      <c r="L575" s="54"/>
      <c r="M575" s="54"/>
      <c r="N575" s="433" t="s">
        <v>1867</v>
      </c>
    </row>
    <row r="576" spans="1:14" ht="24.75" customHeight="1">
      <c r="A576" s="38" t="s">
        <v>1290</v>
      </c>
      <c r="B576" s="191" t="s">
        <v>1291</v>
      </c>
      <c r="C576" s="40"/>
      <c r="D576" s="187"/>
      <c r="E576" s="38"/>
      <c r="F576" s="23"/>
      <c r="G576" s="42">
        <f t="shared" si="70"/>
        <v>0</v>
      </c>
      <c r="H576" s="557"/>
      <c r="I576" s="431"/>
      <c r="J576" s="54"/>
      <c r="K576" s="54"/>
      <c r="L576" s="54"/>
      <c r="M576" s="54"/>
      <c r="N576" s="2"/>
    </row>
    <row r="577" spans="1:14" ht="33" customHeight="1">
      <c r="A577" s="38" t="s">
        <v>1292</v>
      </c>
      <c r="B577" s="193" t="s">
        <v>1293</v>
      </c>
      <c r="C577" s="40"/>
      <c r="D577" s="187"/>
      <c r="E577" s="38"/>
      <c r="F577" s="23"/>
      <c r="G577" s="42">
        <f t="shared" si="70"/>
        <v>0</v>
      </c>
      <c r="H577" s="557"/>
      <c r="I577" s="431"/>
      <c r="J577" s="54"/>
      <c r="K577" s="54"/>
      <c r="L577" s="54"/>
      <c r="M577" s="54"/>
      <c r="N577" s="2"/>
    </row>
    <row r="578" spans="1:14" ht="55.5" customHeight="1">
      <c r="A578" s="38" t="s">
        <v>1294</v>
      </c>
      <c r="B578" s="191" t="s">
        <v>1295</v>
      </c>
      <c r="C578" s="40"/>
      <c r="D578" s="187"/>
      <c r="E578" s="38"/>
      <c r="F578" s="23"/>
      <c r="G578" s="42">
        <f t="shared" si="70"/>
        <v>0</v>
      </c>
      <c r="H578" s="557"/>
      <c r="I578" s="416" t="s">
        <v>1925</v>
      </c>
      <c r="J578" s="54"/>
      <c r="K578" s="54"/>
      <c r="L578" s="54"/>
      <c r="M578" s="100"/>
      <c r="N578" s="435" t="s">
        <v>1868</v>
      </c>
    </row>
    <row r="579" spans="1:14" ht="26.25" customHeight="1">
      <c r="A579" s="15" t="s">
        <v>327</v>
      </c>
      <c r="B579" s="52" t="s">
        <v>1296</v>
      </c>
      <c r="C579" s="22" t="s">
        <v>1297</v>
      </c>
      <c r="D579" s="53"/>
      <c r="E579" s="17">
        <f>SUM(G581,G588,G595,G602)</f>
        <v>10</v>
      </c>
      <c r="F579" s="194"/>
      <c r="G579" s="19" t="str">
        <f>IF(H579&gt;=2,"Não se aplica",IF(I579&gt;=2,"Sem classificação",IF(F579=4,IF(E579&lt;=2,0,IF(E579&lt;=6,1,IF(E579&lt;=10,2,IF(E579&lt;=14,3,4)))),IF(F579=3,ROUND(AVERAGE(G581,G588,G595,G602),0),IF(F579=2,ROUNDDOWN(AVERAGE(G581,G588,G595,G602),0),"Não se aplica")))))</f>
        <v>Não se aplica</v>
      </c>
      <c r="H579" s="20">
        <f>COUNTIF(G581:G602,"Não se aplica")</f>
        <v>0</v>
      </c>
      <c r="I579" s="21"/>
      <c r="J579" s="22"/>
      <c r="K579" s="22"/>
      <c r="L579" s="22"/>
      <c r="M579" s="22"/>
      <c r="N579" s="2"/>
    </row>
    <row r="580" spans="1:14" ht="21.75" customHeight="1">
      <c r="A580" s="54" t="s">
        <v>18</v>
      </c>
      <c r="B580" s="55" t="s">
        <v>19</v>
      </c>
      <c r="C580" s="25"/>
      <c r="D580" s="26"/>
      <c r="E580" s="26"/>
      <c r="F580" s="56"/>
      <c r="G580" s="28"/>
      <c r="H580" s="29"/>
      <c r="I580" s="30"/>
      <c r="J580" s="30"/>
      <c r="K580" s="30"/>
      <c r="L580" s="30"/>
      <c r="M580" s="30"/>
      <c r="N580" s="2"/>
    </row>
    <row r="581" spans="1:14" ht="19.5" customHeight="1">
      <c r="A581" s="48" t="s">
        <v>1298</v>
      </c>
      <c r="B581" s="33" t="s">
        <v>1299</v>
      </c>
      <c r="C581" s="34" t="e">
        <f>VLOOKUP($B$3,[25]QATC25!$B$2:$BN$34,2,FALSE)</f>
        <v>#N/A</v>
      </c>
      <c r="D581" s="35"/>
      <c r="E581" s="35"/>
      <c r="F581" s="37"/>
      <c r="G581" s="97">
        <f>IF(COUNTIF(F582:F587,"Não se aplica")&gt;=2,"Não se aplica",IF(COUNTIF(F582:F587,"Sem classificação")&gt;=2,"Sem classificação",IF(COUNTIF(F582:F587,"Atende")=6,4,IF(AND(COUNTIF(F582:F587,"Atende")=6,(COUNTIF(E582:E587,"Atende")&gt;=3)),3,IF(COUNTIF(F582:F587,"Atende")&gt;=5,2,IF(COUNTIF(F582:F587,"Atende")&gt;=4,1,0))))))</f>
        <v>4</v>
      </c>
      <c r="H581" s="34"/>
      <c r="I581" s="37"/>
      <c r="J581" s="37"/>
      <c r="K581" s="37"/>
      <c r="L581" s="37"/>
      <c r="M581" s="37"/>
      <c r="N581" s="2"/>
    </row>
    <row r="582" spans="1:14" ht="26.25" customHeight="1">
      <c r="A582" s="47" t="s">
        <v>1300</v>
      </c>
      <c r="B582" s="39" t="s">
        <v>1301</v>
      </c>
      <c r="C582" s="40"/>
      <c r="D582" s="41"/>
      <c r="E582" s="171" t="str">
        <f t="shared" ref="E582:E587" si="71">IF(F582="Atende","Atende",0)</f>
        <v>Atende</v>
      </c>
      <c r="F582" s="23" t="s">
        <v>1258</v>
      </c>
      <c r="G582" s="42">
        <f t="shared" ref="G582:G587" si="72">IF(F582="Atende",1,0)</f>
        <v>1</v>
      </c>
      <c r="H582" s="561" t="s">
        <v>1131</v>
      </c>
      <c r="I582" s="362" t="s">
        <v>1853</v>
      </c>
      <c r="J582" s="30" t="s">
        <v>1956</v>
      </c>
      <c r="K582" s="30"/>
      <c r="L582" s="30"/>
      <c r="M582" s="30"/>
      <c r="N582" s="376" t="s">
        <v>1749</v>
      </c>
    </row>
    <row r="583" spans="1:14" ht="43.5" customHeight="1">
      <c r="A583" s="47" t="s">
        <v>1302</v>
      </c>
      <c r="B583" s="39" t="s">
        <v>1303</v>
      </c>
      <c r="C583" s="40"/>
      <c r="D583" s="41"/>
      <c r="E583" s="171" t="str">
        <f t="shared" si="71"/>
        <v>Atende</v>
      </c>
      <c r="F583" s="23" t="s">
        <v>1258</v>
      </c>
      <c r="G583" s="42">
        <f t="shared" si="72"/>
        <v>1</v>
      </c>
      <c r="H583" s="557"/>
      <c r="I583" s="363" t="s">
        <v>1635</v>
      </c>
      <c r="J583" s="30" t="s">
        <v>1956</v>
      </c>
      <c r="K583" s="30"/>
      <c r="L583" s="30"/>
      <c r="M583" s="30"/>
      <c r="N583" s="376" t="s">
        <v>1749</v>
      </c>
    </row>
    <row r="584" spans="1:14" ht="68.25" customHeight="1">
      <c r="A584" s="47" t="s">
        <v>1304</v>
      </c>
      <c r="B584" s="39" t="s">
        <v>1305</v>
      </c>
      <c r="C584" s="40"/>
      <c r="D584" s="41"/>
      <c r="E584" s="171" t="str">
        <f t="shared" si="71"/>
        <v>Atende</v>
      </c>
      <c r="F584" s="23" t="s">
        <v>1258</v>
      </c>
      <c r="G584" s="42">
        <f t="shared" si="72"/>
        <v>1</v>
      </c>
      <c r="H584" s="557"/>
      <c r="I584" s="362" t="s">
        <v>1636</v>
      </c>
      <c r="J584" s="30" t="s">
        <v>1956</v>
      </c>
      <c r="K584" s="30"/>
      <c r="L584" s="30"/>
      <c r="M584" s="30"/>
      <c r="N584" s="376" t="s">
        <v>1749</v>
      </c>
    </row>
    <row r="585" spans="1:14" ht="72.75" customHeight="1">
      <c r="A585" s="47" t="s">
        <v>1306</v>
      </c>
      <c r="B585" s="39" t="s">
        <v>1307</v>
      </c>
      <c r="C585" s="40"/>
      <c r="D585" s="41"/>
      <c r="E585" s="171" t="str">
        <f t="shared" si="71"/>
        <v>Atende</v>
      </c>
      <c r="F585" s="427" t="s">
        <v>1258</v>
      </c>
      <c r="G585" s="42">
        <f t="shared" si="72"/>
        <v>1</v>
      </c>
      <c r="H585" s="557"/>
      <c r="I585" s="361" t="s">
        <v>1637</v>
      </c>
      <c r="J585" s="30" t="s">
        <v>1956</v>
      </c>
      <c r="K585" s="30"/>
      <c r="L585" s="30"/>
      <c r="M585" s="30"/>
      <c r="N585" s="376" t="s">
        <v>1749</v>
      </c>
    </row>
    <row r="586" spans="1:14" ht="53.25" customHeight="1">
      <c r="A586" s="47" t="s">
        <v>1308</v>
      </c>
      <c r="B586" s="39" t="s">
        <v>1309</v>
      </c>
      <c r="C586" s="40"/>
      <c r="D586" s="41"/>
      <c r="E586" s="171" t="str">
        <f t="shared" si="71"/>
        <v>Atende</v>
      </c>
      <c r="F586" s="23" t="s">
        <v>1258</v>
      </c>
      <c r="G586" s="42">
        <f t="shared" si="72"/>
        <v>1</v>
      </c>
      <c r="H586" s="557"/>
      <c r="I586" s="363" t="s">
        <v>1637</v>
      </c>
      <c r="J586" s="30" t="s">
        <v>1956</v>
      </c>
      <c r="K586" s="30"/>
      <c r="L586" s="30"/>
      <c r="M586" s="30"/>
      <c r="N586" s="376" t="s">
        <v>1749</v>
      </c>
    </row>
    <row r="587" spans="1:14" ht="28.5" customHeight="1">
      <c r="A587" s="47" t="s">
        <v>1310</v>
      </c>
      <c r="B587" s="39" t="s">
        <v>1311</v>
      </c>
      <c r="C587" s="40"/>
      <c r="D587" s="41"/>
      <c r="E587" s="171" t="str">
        <f t="shared" si="71"/>
        <v>Atende</v>
      </c>
      <c r="F587" s="23" t="s">
        <v>1258</v>
      </c>
      <c r="G587" s="42">
        <f t="shared" si="72"/>
        <v>1</v>
      </c>
      <c r="H587" s="557"/>
      <c r="I587" s="362" t="s">
        <v>1638</v>
      </c>
      <c r="J587" s="30" t="s">
        <v>1956</v>
      </c>
      <c r="K587" s="30"/>
      <c r="L587" s="30"/>
      <c r="M587" s="30"/>
      <c r="N587" s="376" t="s">
        <v>1749</v>
      </c>
    </row>
    <row r="588" spans="1:14" ht="22.5" customHeight="1">
      <c r="A588" s="48" t="s">
        <v>1312</v>
      </c>
      <c r="B588" s="33" t="s">
        <v>1313</v>
      </c>
      <c r="C588" s="34" t="e">
        <f>VLOOKUP($B$3,[25]QATC25!$B$2:$BN$34,17,FALSE)</f>
        <v>#N/A</v>
      </c>
      <c r="D588" s="35"/>
      <c r="E588" s="35"/>
      <c r="F588" s="37"/>
      <c r="G588" s="36">
        <f>IF(COUNTIF(F589:F594,"Não se aplica")&gt;=2,"Não se aplica",IF(COUNTIF(F589:F594,"Sem classificação")&gt;=2,"Sem classificação",IF(COUNTIF(F589:F594,"Atende")=6,4,IF(AND(COUNTIF(F589:F594,"Atende")=6,(COUNTIF(E589:E594,"Atende")&gt;=3)),3,IF(COUNTIF(F589:F594,"Atende")&gt;=5,2,IF(COUNTIF(F589:F594,"Atende")&gt;=4,1,0))))))</f>
        <v>4</v>
      </c>
      <c r="H588" s="37"/>
      <c r="I588" s="195"/>
      <c r="J588" s="37"/>
      <c r="K588" s="37"/>
      <c r="L588" s="37"/>
      <c r="M588" s="37"/>
      <c r="N588" s="2"/>
    </row>
    <row r="589" spans="1:14" ht="32.25" customHeight="1">
      <c r="A589" s="47" t="s">
        <v>1314</v>
      </c>
      <c r="B589" s="39" t="s">
        <v>1315</v>
      </c>
      <c r="C589" s="40"/>
      <c r="D589" s="41"/>
      <c r="E589" s="171" t="str">
        <f t="shared" ref="E589:E594" si="73">IF(F589="Atende","Atende",0)</f>
        <v>Atende</v>
      </c>
      <c r="F589" s="23" t="s">
        <v>1258</v>
      </c>
      <c r="G589" s="42">
        <f t="shared" ref="G589:G594" si="74">IF(F589="Atende",1,0)</f>
        <v>1</v>
      </c>
      <c r="H589" s="559" t="s">
        <v>1131</v>
      </c>
      <c r="I589" s="365" t="s">
        <v>1639</v>
      </c>
      <c r="J589" s="30" t="s">
        <v>1956</v>
      </c>
      <c r="K589" s="30"/>
      <c r="L589" s="30"/>
      <c r="M589" s="30"/>
      <c r="N589" s="353" t="s">
        <v>1750</v>
      </c>
    </row>
    <row r="590" spans="1:14" ht="51.75" customHeight="1">
      <c r="A590" s="47" t="s">
        <v>1316</v>
      </c>
      <c r="B590" s="39" t="s">
        <v>1317</v>
      </c>
      <c r="C590" s="40"/>
      <c r="D590" s="41"/>
      <c r="E590" s="171" t="str">
        <f t="shared" si="73"/>
        <v>Atende</v>
      </c>
      <c r="F590" s="23" t="s">
        <v>1258</v>
      </c>
      <c r="G590" s="42">
        <f t="shared" si="74"/>
        <v>1</v>
      </c>
      <c r="H590" s="557"/>
      <c r="I590" s="365" t="s">
        <v>1639</v>
      </c>
      <c r="J590" s="30" t="s">
        <v>1956</v>
      </c>
      <c r="K590" s="30"/>
      <c r="L590" s="30"/>
      <c r="M590" s="30"/>
      <c r="N590" s="353" t="s">
        <v>1750</v>
      </c>
    </row>
    <row r="591" spans="1:14" ht="70.5" customHeight="1">
      <c r="A591" s="47" t="s">
        <v>1318</v>
      </c>
      <c r="B591" s="39" t="s">
        <v>1319</v>
      </c>
      <c r="C591" s="40"/>
      <c r="D591" s="41"/>
      <c r="E591" s="171" t="str">
        <f t="shared" si="73"/>
        <v>Atende</v>
      </c>
      <c r="F591" s="23" t="s">
        <v>1258</v>
      </c>
      <c r="G591" s="42">
        <f t="shared" si="74"/>
        <v>1</v>
      </c>
      <c r="H591" s="557"/>
      <c r="I591" s="365" t="s">
        <v>1866</v>
      </c>
      <c r="J591" s="30" t="s">
        <v>1956</v>
      </c>
      <c r="K591" s="30"/>
      <c r="L591" s="30"/>
      <c r="M591" s="30"/>
      <c r="N591" s="353" t="s">
        <v>1750</v>
      </c>
    </row>
    <row r="592" spans="1:14" ht="71.25" customHeight="1">
      <c r="A592" s="47" t="s">
        <v>1320</v>
      </c>
      <c r="B592" s="39" t="s">
        <v>1321</v>
      </c>
      <c r="C592" s="40"/>
      <c r="D592" s="41"/>
      <c r="E592" s="171" t="str">
        <f t="shared" si="73"/>
        <v>Atende</v>
      </c>
      <c r="F592" s="421" t="s">
        <v>1258</v>
      </c>
      <c r="G592" s="42">
        <f t="shared" si="74"/>
        <v>1</v>
      </c>
      <c r="H592" s="557"/>
      <c r="I592" s="365" t="s">
        <v>1639</v>
      </c>
      <c r="J592" s="30" t="s">
        <v>1956</v>
      </c>
      <c r="K592" s="30"/>
      <c r="L592" s="30"/>
      <c r="M592" s="30"/>
      <c r="N592" s="2"/>
    </row>
    <row r="593" spans="1:14" ht="58.5" customHeight="1">
      <c r="A593" s="47" t="s">
        <v>1322</v>
      </c>
      <c r="B593" s="39" t="s">
        <v>1323</v>
      </c>
      <c r="C593" s="40"/>
      <c r="D593" s="41"/>
      <c r="E593" s="171" t="str">
        <f t="shared" si="73"/>
        <v>Atende</v>
      </c>
      <c r="F593" s="23" t="s">
        <v>1258</v>
      </c>
      <c r="G593" s="42">
        <f t="shared" si="74"/>
        <v>1</v>
      </c>
      <c r="H593" s="557"/>
      <c r="I593" s="365" t="s">
        <v>1639</v>
      </c>
      <c r="J593" s="30" t="s">
        <v>1956</v>
      </c>
      <c r="K593" s="30"/>
      <c r="L593" s="30"/>
      <c r="M593" s="30"/>
      <c r="N593" s="353" t="s">
        <v>1750</v>
      </c>
    </row>
    <row r="594" spans="1:14" ht="27.75" customHeight="1">
      <c r="A594" s="47" t="s">
        <v>1324</v>
      </c>
      <c r="B594" s="39" t="s">
        <v>1311</v>
      </c>
      <c r="C594" s="40"/>
      <c r="D594" s="41"/>
      <c r="E594" s="171" t="str">
        <f t="shared" si="73"/>
        <v>Atende</v>
      </c>
      <c r="F594" s="23" t="s">
        <v>1258</v>
      </c>
      <c r="G594" s="42">
        <f t="shared" si="74"/>
        <v>1</v>
      </c>
      <c r="H594" s="557"/>
      <c r="I594" s="365" t="s">
        <v>1639</v>
      </c>
      <c r="J594" s="30" t="s">
        <v>1956</v>
      </c>
      <c r="K594" s="30"/>
      <c r="L594" s="30"/>
      <c r="M594" s="30"/>
      <c r="N594" s="353" t="s">
        <v>1750</v>
      </c>
    </row>
    <row r="595" spans="1:14" ht="23.25" customHeight="1">
      <c r="A595" s="48" t="s">
        <v>1325</v>
      </c>
      <c r="B595" s="33" t="s">
        <v>1326</v>
      </c>
      <c r="C595" s="34" t="e">
        <f>VLOOKUP($B$3,[25]QATC25!$B$2:$BN$34,38,FALSE)</f>
        <v>#N/A</v>
      </c>
      <c r="D595" s="35"/>
      <c r="E595" s="196"/>
      <c r="F595" s="37"/>
      <c r="G595" s="36">
        <f>IF(COUNTIF(F596:F601,"Não se aplica")&gt;=2,"Não se aplica",IF(COUNTIF(F596:F601,"Sem classificação")&gt;=2,"Sem classificação",IF(COUNTIF(F596:F601,"Atende")=6,4,IF(AND(COUNTIF(F596:F601,"Atende")=6,(COUNTIF(E596:E601,"Atende")&gt;=3)),3,IF(COUNTIF(F596:F601,"Atende")&gt;=5,2,IF(COUNTIF(F596:F601,"Atende")&gt;=4,1,0))))))</f>
        <v>0</v>
      </c>
      <c r="H595" s="37"/>
      <c r="I595" s="195"/>
      <c r="J595" s="37"/>
      <c r="K595" s="37"/>
      <c r="L595" s="37"/>
      <c r="M595" s="37"/>
      <c r="N595" s="2"/>
    </row>
    <row r="596" spans="1:14" ht="27.75" customHeight="1">
      <c r="A596" s="47" t="s">
        <v>1327</v>
      </c>
      <c r="B596" s="39" t="s">
        <v>1328</v>
      </c>
      <c r="C596" s="40"/>
      <c r="D596" s="41"/>
      <c r="E596" s="171">
        <f t="shared" ref="E596:E601" si="75">IF(F596="Atende","Atende",0)</f>
        <v>0</v>
      </c>
      <c r="F596" s="23"/>
      <c r="G596" s="42">
        <f t="shared" ref="G596:G601" si="76">IF(F596="Atende",1,0)</f>
        <v>0</v>
      </c>
      <c r="H596" s="559" t="s">
        <v>1131</v>
      </c>
      <c r="I596" s="443"/>
      <c r="J596" s="30"/>
      <c r="K596" s="30"/>
      <c r="L596" s="30"/>
      <c r="M596" s="169"/>
      <c r="N596" s="376"/>
    </row>
    <row r="597" spans="1:14" ht="39.75" customHeight="1">
      <c r="A597" s="47" t="s">
        <v>1329</v>
      </c>
      <c r="B597" s="39" t="s">
        <v>1317</v>
      </c>
      <c r="C597" s="40"/>
      <c r="D597" s="41"/>
      <c r="E597" s="171">
        <f t="shared" si="75"/>
        <v>0</v>
      </c>
      <c r="F597" s="23"/>
      <c r="G597" s="42">
        <f t="shared" si="76"/>
        <v>0</v>
      </c>
      <c r="H597" s="557"/>
      <c r="I597" s="39"/>
      <c r="J597" s="30"/>
      <c r="K597" s="30"/>
      <c r="L597" s="30"/>
      <c r="M597" s="30"/>
      <c r="N597" s="2"/>
    </row>
    <row r="598" spans="1:14" ht="72.75" customHeight="1">
      <c r="A598" s="47" t="s">
        <v>1330</v>
      </c>
      <c r="B598" s="39" t="s">
        <v>1319</v>
      </c>
      <c r="C598" s="40"/>
      <c r="D598" s="41"/>
      <c r="E598" s="171">
        <f t="shared" si="75"/>
        <v>0</v>
      </c>
      <c r="F598" s="23"/>
      <c r="G598" s="42">
        <f t="shared" si="76"/>
        <v>0</v>
      </c>
      <c r="H598" s="557"/>
      <c r="I598" s="39"/>
      <c r="J598" s="30"/>
      <c r="K598" s="30"/>
      <c r="L598" s="30"/>
      <c r="M598" s="30"/>
      <c r="N598" s="2"/>
    </row>
    <row r="599" spans="1:14" ht="67.5" customHeight="1">
      <c r="A599" s="47" t="s">
        <v>1331</v>
      </c>
      <c r="B599" s="39" t="s">
        <v>1332</v>
      </c>
      <c r="C599" s="40"/>
      <c r="D599" s="41"/>
      <c r="E599" s="171">
        <f t="shared" si="75"/>
        <v>0</v>
      </c>
      <c r="F599" s="23"/>
      <c r="G599" s="42">
        <f t="shared" si="76"/>
        <v>0</v>
      </c>
      <c r="H599" s="557"/>
      <c r="I599" s="39"/>
      <c r="J599" s="30"/>
      <c r="K599" s="30"/>
      <c r="L599" s="30"/>
      <c r="M599" s="30"/>
      <c r="N599" s="2"/>
    </row>
    <row r="600" spans="1:14" ht="59.25" customHeight="1">
      <c r="A600" s="47" t="s">
        <v>1333</v>
      </c>
      <c r="B600" s="39" t="s">
        <v>1323</v>
      </c>
      <c r="C600" s="40"/>
      <c r="D600" s="41"/>
      <c r="E600" s="171">
        <f t="shared" si="75"/>
        <v>0</v>
      </c>
      <c r="F600" s="23"/>
      <c r="G600" s="42">
        <f t="shared" si="76"/>
        <v>0</v>
      </c>
      <c r="H600" s="557"/>
      <c r="I600" s="39"/>
      <c r="J600" s="30"/>
      <c r="K600" s="30"/>
      <c r="L600" s="30"/>
      <c r="M600" s="30"/>
      <c r="N600" s="2"/>
    </row>
    <row r="601" spans="1:14" ht="27.75" customHeight="1">
      <c r="A601" s="47" t="s">
        <v>1334</v>
      </c>
      <c r="B601" s="39" t="s">
        <v>1335</v>
      </c>
      <c r="C601" s="40"/>
      <c r="D601" s="41"/>
      <c r="E601" s="171">
        <f t="shared" si="75"/>
        <v>0</v>
      </c>
      <c r="F601" s="23"/>
      <c r="G601" s="42">
        <f t="shared" si="76"/>
        <v>0</v>
      </c>
      <c r="H601" s="557"/>
      <c r="I601" s="39"/>
      <c r="J601" s="30"/>
      <c r="K601" s="30"/>
      <c r="L601" s="30"/>
      <c r="M601" s="30"/>
      <c r="N601" s="2"/>
    </row>
    <row r="602" spans="1:14" ht="24" customHeight="1">
      <c r="A602" s="48" t="s">
        <v>1336</v>
      </c>
      <c r="B602" s="33" t="s">
        <v>1337</v>
      </c>
      <c r="C602" s="34" t="e">
        <f>VLOOKUP($B$3,[25]QATC25!$B$2:$BN$34,53,FALSE)</f>
        <v>#N/A</v>
      </c>
      <c r="D602" s="35"/>
      <c r="E602" s="37"/>
      <c r="F602" s="37"/>
      <c r="G602" s="97">
        <f>IF(COUNTIF(F603:F608,"Não se aplica")&gt;=2,"Não se aplica",IF(COUNTIF(F603:F608,"Sem classificação")&gt;=2,"Sem classificação",IF(COUNTIF(F603:F608,"Atende")=6,4,IF(AND(COUNTIF(F603:F608,"Atende")=6,(COUNTIF(E603:E608,"Atende")&gt;=3)),3,IF(COUNTIF(F603:F608,"Atende")&gt;=5,2,IF(COUNTIF(F603:F608,"Atende")&gt;=4,1,0))))))</f>
        <v>2</v>
      </c>
      <c r="H602" s="34"/>
      <c r="I602" s="197"/>
      <c r="J602" s="37"/>
      <c r="K602" s="37"/>
      <c r="L602" s="37"/>
      <c r="M602" s="37"/>
      <c r="N602" s="2"/>
    </row>
    <row r="603" spans="1:14" ht="24.75" customHeight="1">
      <c r="A603" s="47" t="s">
        <v>1338</v>
      </c>
      <c r="B603" s="387" t="s">
        <v>1339</v>
      </c>
      <c r="C603" s="40"/>
      <c r="D603" s="41"/>
      <c r="E603" s="171" t="str">
        <f t="shared" ref="E603:E608" si="77">IF(F603="Atende","Atende",0)</f>
        <v>Atende</v>
      </c>
      <c r="F603" s="23" t="s">
        <v>1258</v>
      </c>
      <c r="G603" s="42">
        <f t="shared" ref="G603:G608" si="78">IF(F603="Atende",1,0)</f>
        <v>1</v>
      </c>
      <c r="H603" s="561" t="s">
        <v>1131</v>
      </c>
      <c r="I603" s="442" t="s">
        <v>1927</v>
      </c>
      <c r="J603" s="30" t="s">
        <v>1956</v>
      </c>
      <c r="K603" s="30"/>
      <c r="L603" s="30"/>
      <c r="M603" s="30"/>
      <c r="N603" s="439" t="s">
        <v>1861</v>
      </c>
    </row>
    <row r="604" spans="1:14" ht="57" customHeight="1">
      <c r="A604" s="47" t="s">
        <v>1340</v>
      </c>
      <c r="B604" s="39" t="s">
        <v>1317</v>
      </c>
      <c r="C604" s="40"/>
      <c r="D604" s="41"/>
      <c r="E604" s="171" t="str">
        <f t="shared" si="77"/>
        <v>Atende</v>
      </c>
      <c r="F604" s="23" t="s">
        <v>1258</v>
      </c>
      <c r="G604" s="42">
        <f t="shared" si="78"/>
        <v>1</v>
      </c>
      <c r="H604" s="567"/>
      <c r="I604" s="440" t="s">
        <v>1926</v>
      </c>
      <c r="J604" s="149" t="s">
        <v>1956</v>
      </c>
      <c r="K604" s="30"/>
      <c r="L604" s="30"/>
      <c r="M604" s="30"/>
      <c r="N604" s="430" t="s">
        <v>1862</v>
      </c>
    </row>
    <row r="605" spans="1:14" ht="90" customHeight="1">
      <c r="A605" s="47" t="s">
        <v>1341</v>
      </c>
      <c r="B605" s="39" t="s">
        <v>1342</v>
      </c>
      <c r="C605" s="40"/>
      <c r="D605" s="41"/>
      <c r="E605" s="171" t="str">
        <f t="shared" si="77"/>
        <v>Atende</v>
      </c>
      <c r="F605" s="23" t="s">
        <v>1258</v>
      </c>
      <c r="G605" s="42">
        <f t="shared" si="78"/>
        <v>1</v>
      </c>
      <c r="H605" s="567"/>
      <c r="I605" s="441" t="s">
        <v>1928</v>
      </c>
      <c r="J605" s="149" t="s">
        <v>1956</v>
      </c>
      <c r="K605" s="30"/>
      <c r="L605" s="30"/>
      <c r="M605" s="30"/>
      <c r="N605" s="438" t="s">
        <v>1862</v>
      </c>
    </row>
    <row r="606" spans="1:14" ht="104.25" customHeight="1">
      <c r="A606" s="47" t="s">
        <v>1343</v>
      </c>
      <c r="B606" s="39" t="s">
        <v>1332</v>
      </c>
      <c r="C606" s="40"/>
      <c r="D606" s="41"/>
      <c r="E606" s="171" t="str">
        <f t="shared" si="77"/>
        <v>Atende</v>
      </c>
      <c r="F606" s="23" t="s">
        <v>1258</v>
      </c>
      <c r="G606" s="42">
        <f t="shared" si="78"/>
        <v>1</v>
      </c>
      <c r="H606" s="567"/>
      <c r="I606" s="536" t="s">
        <v>1929</v>
      </c>
      <c r="J606" s="149" t="s">
        <v>1956</v>
      </c>
      <c r="K606" s="30"/>
      <c r="L606" s="30"/>
      <c r="M606" s="30"/>
      <c r="N606" s="430" t="s">
        <v>1863</v>
      </c>
    </row>
    <row r="607" spans="1:14" ht="75" customHeight="1">
      <c r="A607" s="47" t="s">
        <v>1344</v>
      </c>
      <c r="B607" s="39" t="s">
        <v>1323</v>
      </c>
      <c r="C607" s="40"/>
      <c r="D607" s="41"/>
      <c r="E607" s="171">
        <f t="shared" si="77"/>
        <v>0</v>
      </c>
      <c r="F607" s="23" t="s">
        <v>1865</v>
      </c>
      <c r="G607" s="42">
        <f t="shared" si="78"/>
        <v>0</v>
      </c>
      <c r="H607" s="557"/>
      <c r="I607" s="426" t="s">
        <v>1931</v>
      </c>
      <c r="J607" s="30"/>
      <c r="K607" s="30"/>
      <c r="L607" s="30"/>
      <c r="M607" s="30"/>
      <c r="N607" s="438" t="s">
        <v>1864</v>
      </c>
    </row>
    <row r="608" spans="1:14" ht="27" customHeight="1">
      <c r="A608" s="47" t="s">
        <v>1345</v>
      </c>
      <c r="B608" s="39" t="s">
        <v>1335</v>
      </c>
      <c r="C608" s="40"/>
      <c r="D608" s="41"/>
      <c r="E608" s="171" t="str">
        <f t="shared" si="77"/>
        <v>Atende</v>
      </c>
      <c r="F608" s="23" t="s">
        <v>1258</v>
      </c>
      <c r="G608" s="42">
        <f t="shared" si="78"/>
        <v>1</v>
      </c>
      <c r="H608" s="557"/>
      <c r="I608" s="437" t="s">
        <v>1930</v>
      </c>
      <c r="J608" s="30" t="s">
        <v>1956</v>
      </c>
      <c r="K608" s="30"/>
      <c r="L608" s="30"/>
      <c r="M608" s="30"/>
      <c r="N608" s="438" t="s">
        <v>1864</v>
      </c>
    </row>
    <row r="609" spans="1:16" ht="35.25" customHeight="1">
      <c r="A609" s="550" t="s">
        <v>1346</v>
      </c>
      <c r="B609" s="551"/>
      <c r="C609" s="46" t="s">
        <v>1347</v>
      </c>
      <c r="D609" s="46"/>
      <c r="E609" s="46"/>
      <c r="F609" s="46"/>
      <c r="G609" s="46"/>
      <c r="H609" s="46"/>
      <c r="I609" s="198"/>
      <c r="J609" s="46"/>
      <c r="K609" s="46"/>
      <c r="L609" s="46"/>
      <c r="M609" s="46"/>
      <c r="N609" s="2"/>
    </row>
    <row r="610" spans="1:16" ht="33" customHeight="1">
      <c r="A610" s="15" t="s">
        <v>341</v>
      </c>
      <c r="B610" s="52" t="s">
        <v>1348</v>
      </c>
      <c r="C610" s="13" t="s">
        <v>1349</v>
      </c>
      <c r="D610" s="53"/>
      <c r="E610" s="17">
        <f>SUM(G612,G618,G624,G636)</f>
        <v>9</v>
      </c>
      <c r="F610" s="158"/>
      <c r="G610" s="19" t="str">
        <f>IF(H610&gt;=2,"Não se aplica",IF(I610&gt;=2,"Sem classificação",IF(F610=4,IF(E610&lt;=2,0,IF(E610&lt;=6,1,IF(E610&lt;=10,2,IF(E610&lt;=14,3,4)))),IF(F610=3,ROUND(AVERAGE(G612,G618,G624,G636),0),IF(F610=2,ROUNDDOWN(AVERAGE(G612,G618,G624,G636),0),"Não se aplica")))))</f>
        <v>Não se aplica</v>
      </c>
      <c r="H610" s="20">
        <f>COUNTIF(G612:G636,"Não se aplica")</f>
        <v>0</v>
      </c>
      <c r="I610" s="21"/>
      <c r="J610" s="22"/>
      <c r="K610" s="22"/>
      <c r="L610" s="22"/>
      <c r="M610" s="22"/>
      <c r="N610" s="2"/>
    </row>
    <row r="611" spans="1:16" ht="20.25" customHeight="1">
      <c r="A611" s="54" t="s">
        <v>18</v>
      </c>
      <c r="B611" s="55" t="s">
        <v>1350</v>
      </c>
      <c r="C611" s="25"/>
      <c r="D611" s="26"/>
      <c r="E611" s="26"/>
      <c r="F611" s="27"/>
      <c r="G611" s="28"/>
      <c r="H611" s="199"/>
      <c r="I611" s="200"/>
      <c r="J611" s="30"/>
      <c r="K611" s="30"/>
      <c r="L611" s="30"/>
      <c r="M611" s="30"/>
      <c r="N611" s="2"/>
    </row>
    <row r="612" spans="1:16" ht="20.25" customHeight="1">
      <c r="A612" s="48" t="s">
        <v>1351</v>
      </c>
      <c r="B612" s="33" t="s">
        <v>1352</v>
      </c>
      <c r="C612" s="34" t="e">
        <f>VLOOKUP($B$3,[26]QATC26!$B$2:$BX$34,2,FALSE)</f>
        <v>#N/A</v>
      </c>
      <c r="D612" s="35"/>
      <c r="E612" s="196"/>
      <c r="F612" s="37"/>
      <c r="G612" s="97">
        <f>IF(COUNTIF(F613:F617,"Não se aplica")&gt;=2,"Não se aplica",IF(COUNTIF(F613:F617,"Sem classificação")&gt;=2,"Sem classificação",IF(COUNTIF(F613:F617,"Atende")=5,4,IF(COUNTIF(F613:F617,"Atende")=4,3,IF(COUNTIF(F613:F617,"Atende")&gt;=2,2,IF(COUNTIF(F613:F617,"Atende")=1,1,0))))))</f>
        <v>2</v>
      </c>
      <c r="H612" s="102"/>
      <c r="I612" s="197"/>
      <c r="J612" s="37"/>
      <c r="K612" s="37"/>
      <c r="L612" s="37"/>
      <c r="M612" s="37"/>
    </row>
    <row r="613" spans="1:16" ht="33" customHeight="1">
      <c r="A613" s="47" t="s">
        <v>1353</v>
      </c>
      <c r="B613" s="39" t="s">
        <v>1354</v>
      </c>
      <c r="C613" s="40"/>
      <c r="D613" s="41"/>
      <c r="E613" s="41"/>
      <c r="F613" s="23" t="s">
        <v>1258</v>
      </c>
      <c r="G613" s="42">
        <f t="shared" ref="G613:G617" si="79">IF(F613="Atende",1,0)</f>
        <v>1</v>
      </c>
      <c r="H613" s="576" t="s">
        <v>1355</v>
      </c>
      <c r="I613" s="384" t="s">
        <v>1753</v>
      </c>
      <c r="J613" s="30" t="s">
        <v>1956</v>
      </c>
      <c r="K613" s="30"/>
      <c r="L613" s="30"/>
      <c r="M613" s="30"/>
      <c r="N613" s="376" t="s">
        <v>1642</v>
      </c>
    </row>
    <row r="614" spans="1:16" ht="49.5" customHeight="1">
      <c r="A614" s="47" t="s">
        <v>1356</v>
      </c>
      <c r="B614" s="39" t="s">
        <v>1357</v>
      </c>
      <c r="C614" s="40"/>
      <c r="D614" s="41"/>
      <c r="E614" s="41"/>
      <c r="F614" s="23"/>
      <c r="G614" s="42">
        <f t="shared" si="79"/>
        <v>0</v>
      </c>
      <c r="H614" s="567"/>
      <c r="I614" s="384" t="s">
        <v>1754</v>
      </c>
      <c r="J614" s="30"/>
      <c r="K614" s="30"/>
      <c r="L614" s="30"/>
      <c r="M614" s="30"/>
      <c r="N614" s="376" t="s">
        <v>1648</v>
      </c>
    </row>
    <row r="615" spans="1:16" ht="24.75" customHeight="1">
      <c r="A615" s="47" t="s">
        <v>1358</v>
      </c>
      <c r="B615" s="39" t="s">
        <v>1359</v>
      </c>
      <c r="C615" s="40"/>
      <c r="D615" s="41"/>
      <c r="E615" s="41"/>
      <c r="F615" s="23" t="s">
        <v>1258</v>
      </c>
      <c r="G615" s="42">
        <f t="shared" si="79"/>
        <v>1</v>
      </c>
      <c r="H615" s="567"/>
      <c r="I615" s="384" t="s">
        <v>1579</v>
      </c>
      <c r="J615" s="30" t="s">
        <v>1956</v>
      </c>
      <c r="K615" s="30"/>
      <c r="L615" s="30"/>
      <c r="M615" s="30"/>
      <c r="N615" s="376" t="s">
        <v>1649</v>
      </c>
    </row>
    <row r="616" spans="1:16" ht="44.25" customHeight="1">
      <c r="A616" s="47" t="s">
        <v>1360</v>
      </c>
      <c r="B616" s="39" t="s">
        <v>1361</v>
      </c>
      <c r="C616" s="40"/>
      <c r="D616" s="41"/>
      <c r="E616" s="41"/>
      <c r="F616" s="23"/>
      <c r="G616" s="42">
        <f t="shared" si="79"/>
        <v>0</v>
      </c>
      <c r="H616" s="567"/>
      <c r="I616" s="387" t="s">
        <v>1580</v>
      </c>
      <c r="J616" s="30"/>
      <c r="K616" s="30"/>
      <c r="L616" s="30"/>
      <c r="M616" s="30"/>
      <c r="N616" s="353"/>
    </row>
    <row r="617" spans="1:16" ht="24.75" customHeight="1">
      <c r="A617" s="47" t="s">
        <v>1362</v>
      </c>
      <c r="B617" s="39" t="s">
        <v>1363</v>
      </c>
      <c r="C617" s="40"/>
      <c r="D617" s="41"/>
      <c r="E617" s="41"/>
      <c r="F617" s="23" t="s">
        <v>1258</v>
      </c>
      <c r="G617" s="42">
        <f t="shared" si="79"/>
        <v>1</v>
      </c>
      <c r="H617" s="567"/>
      <c r="I617" s="384" t="s">
        <v>1808</v>
      </c>
      <c r="J617" s="30" t="s">
        <v>1956</v>
      </c>
      <c r="K617" s="30"/>
      <c r="L617" s="30"/>
      <c r="M617" s="30"/>
      <c r="N617" s="353" t="s">
        <v>1649</v>
      </c>
    </row>
    <row r="618" spans="1:16" ht="28.5" customHeight="1">
      <c r="A618" s="48" t="s">
        <v>1364</v>
      </c>
      <c r="B618" s="33" t="s">
        <v>1365</v>
      </c>
      <c r="C618" s="34" t="e">
        <f>VLOOKUP($B$3,[26]QATC26!$B$2:$BX$34,17,FALSE)</f>
        <v>#N/A</v>
      </c>
      <c r="D618" s="35"/>
      <c r="E618" s="196"/>
      <c r="F618" s="34"/>
      <c r="G618" s="36">
        <f>IF(COUNTIF(F619:F623,"Não se aplica")&gt;=2,"Não se aplica",IF(COUNTIF(F619:F623,"Sem classificação")&gt;=2,"Sem classificação",IF(COUNTIF(F619:F623,"Atende")=5,4,IF(COUNTIF(F619:F623,"Atende")=4,3,IF(COUNTIF(F619:F623,"Atende")&gt;=2,2,IF(COUNTIF(F619:F623,"Atende")=1,1,0))))))</f>
        <v>3</v>
      </c>
      <c r="H618" s="37"/>
      <c r="I618" s="127"/>
      <c r="J618" s="37"/>
      <c r="K618" s="37"/>
      <c r="L618" s="37"/>
      <c r="M618" s="37"/>
      <c r="N618" s="2"/>
    </row>
    <row r="619" spans="1:16" ht="48.75" customHeight="1">
      <c r="A619" s="47" t="s">
        <v>1366</v>
      </c>
      <c r="B619" s="39" t="s">
        <v>1367</v>
      </c>
      <c r="C619" s="40"/>
      <c r="D619" s="41"/>
      <c r="E619" s="41"/>
      <c r="F619" s="23" t="s">
        <v>1258</v>
      </c>
      <c r="G619" s="42">
        <f t="shared" ref="G619:G623" si="80">IF(F619="Atende",1,0)</f>
        <v>1</v>
      </c>
      <c r="H619" s="571" t="s">
        <v>1368</v>
      </c>
      <c r="I619" s="384" t="s">
        <v>1826</v>
      </c>
      <c r="J619" s="30" t="s">
        <v>1956</v>
      </c>
      <c r="K619" s="30"/>
      <c r="L619" s="30"/>
      <c r="M619" s="30"/>
      <c r="N619" s="353" t="s">
        <v>1824</v>
      </c>
      <c r="O619" s="420" t="s">
        <v>1823</v>
      </c>
      <c r="P619" s="420" t="s">
        <v>1825</v>
      </c>
    </row>
    <row r="620" spans="1:16" ht="99" customHeight="1">
      <c r="A620" s="47" t="s">
        <v>1369</v>
      </c>
      <c r="B620" s="39" t="s">
        <v>1370</v>
      </c>
      <c r="C620" s="40"/>
      <c r="D620" s="41"/>
      <c r="E620" s="41"/>
      <c r="F620" s="23" t="s">
        <v>1258</v>
      </c>
      <c r="G620" s="42">
        <f t="shared" si="80"/>
        <v>1</v>
      </c>
      <c r="H620" s="567"/>
      <c r="I620" s="384" t="s">
        <v>1828</v>
      </c>
      <c r="J620" s="30" t="s">
        <v>1956</v>
      </c>
      <c r="K620" s="30"/>
      <c r="L620" s="30"/>
      <c r="M620" s="30"/>
      <c r="N620" s="420" t="s">
        <v>1825</v>
      </c>
      <c r="O620" s="420" t="s">
        <v>1827</v>
      </c>
    </row>
    <row r="621" spans="1:16" ht="33" customHeight="1">
      <c r="A621" s="47" t="s">
        <v>1371</v>
      </c>
      <c r="B621" s="39" t="s">
        <v>1372</v>
      </c>
      <c r="C621" s="40"/>
      <c r="D621" s="41"/>
      <c r="E621" s="41"/>
      <c r="F621" s="23" t="s">
        <v>1258</v>
      </c>
      <c r="G621" s="42">
        <f t="shared" si="80"/>
        <v>1</v>
      </c>
      <c r="H621" s="567"/>
      <c r="I621" s="384" t="s">
        <v>1834</v>
      </c>
      <c r="J621" s="30" t="s">
        <v>1956</v>
      </c>
      <c r="K621" s="30"/>
      <c r="L621" s="30"/>
      <c r="M621" s="30"/>
      <c r="N621" s="353" t="s">
        <v>1832</v>
      </c>
      <c r="O621" s="420" t="s">
        <v>1833</v>
      </c>
    </row>
    <row r="622" spans="1:16" ht="29.25" customHeight="1">
      <c r="A622" s="47" t="s">
        <v>1373</v>
      </c>
      <c r="B622" s="39" t="s">
        <v>1374</v>
      </c>
      <c r="C622" s="40"/>
      <c r="D622" s="41"/>
      <c r="E622" s="41"/>
      <c r="F622" s="23" t="s">
        <v>1258</v>
      </c>
      <c r="G622" s="42">
        <f t="shared" si="80"/>
        <v>1</v>
      </c>
      <c r="H622" s="567"/>
      <c r="I622" s="384" t="s">
        <v>1831</v>
      </c>
      <c r="J622" s="30" t="s">
        <v>1956</v>
      </c>
      <c r="K622" s="30"/>
      <c r="L622" s="30"/>
      <c r="M622" s="30"/>
      <c r="N622" s="353" t="s">
        <v>1829</v>
      </c>
      <c r="O622" s="420" t="s">
        <v>1830</v>
      </c>
    </row>
    <row r="623" spans="1:16" ht="55.5" customHeight="1">
      <c r="A623" s="47" t="s">
        <v>1375</v>
      </c>
      <c r="B623" s="39" t="s">
        <v>1376</v>
      </c>
      <c r="C623" s="40"/>
      <c r="D623" s="41"/>
      <c r="E623" s="41"/>
      <c r="F623" s="23"/>
      <c r="G623" s="42">
        <f t="shared" si="80"/>
        <v>0</v>
      </c>
      <c r="H623" s="567"/>
      <c r="I623" s="387" t="s">
        <v>1756</v>
      </c>
      <c r="J623" s="30"/>
      <c r="K623" s="30"/>
      <c r="L623" s="30"/>
      <c r="M623" s="30"/>
      <c r="N623" s="2"/>
    </row>
    <row r="624" spans="1:16" ht="30.75" customHeight="1">
      <c r="A624" s="48" t="s">
        <v>1377</v>
      </c>
      <c r="B624" s="33" t="s">
        <v>1378</v>
      </c>
      <c r="C624" s="34" t="e">
        <f>VLOOKUP($B$3,[26]QATC26!$B$2:$BX$34,38,FALSE)</f>
        <v>#N/A</v>
      </c>
      <c r="D624" s="35"/>
      <c r="E624" s="196"/>
      <c r="F624" s="34"/>
      <c r="G624" s="36">
        <f>IF(COUNTIF(F625:F635,"Não se aplica")&gt;=2,"Não se aplica",IF(COUNTIF(F625:F635,"Sem classificação")&gt;=2,"Sem classificação",IF(COUNTIF(F625:F635,"Atende")&gt;=10,4,IF(COUNTIF(F625:F635,"Atende")&gt;=8,3,IF(COUNTIF(F625:F635,"Atende")&gt;=6,2,IF(COUNTIF(F625:F635,"Atende")&gt;=3,1,0))))))</f>
        <v>1</v>
      </c>
      <c r="H624" s="37"/>
      <c r="I624" s="127"/>
      <c r="J624" s="37"/>
      <c r="K624" s="37"/>
      <c r="L624" s="37"/>
      <c r="M624" s="37"/>
      <c r="N624" s="2"/>
    </row>
    <row r="625" spans="1:14" ht="24.75" customHeight="1">
      <c r="A625" s="47" t="s">
        <v>1379</v>
      </c>
      <c r="B625" s="39" t="s">
        <v>1380</v>
      </c>
      <c r="C625" s="40"/>
      <c r="D625" s="41"/>
      <c r="E625" s="41"/>
      <c r="F625" s="23" t="s">
        <v>1258</v>
      </c>
      <c r="G625" s="42">
        <f t="shared" ref="G625:G635" si="81">IF(F625="Atende",1,0)</f>
        <v>1</v>
      </c>
      <c r="H625" s="559" t="s">
        <v>1381</v>
      </c>
      <c r="I625" s="384" t="s">
        <v>1809</v>
      </c>
      <c r="J625" s="30" t="s">
        <v>1956</v>
      </c>
      <c r="K625" s="30"/>
      <c r="L625" s="30"/>
      <c r="M625" s="30"/>
      <c r="N625" s="376" t="s">
        <v>1786</v>
      </c>
    </row>
    <row r="626" spans="1:14" ht="51" customHeight="1">
      <c r="A626" s="47" t="s">
        <v>1382</v>
      </c>
      <c r="B626" s="39" t="s">
        <v>1383</v>
      </c>
      <c r="C626" s="40"/>
      <c r="D626" s="41"/>
      <c r="E626" s="41"/>
      <c r="F626" s="23" t="s">
        <v>1258</v>
      </c>
      <c r="G626" s="42">
        <f t="shared" si="81"/>
        <v>1</v>
      </c>
      <c r="H626" s="557"/>
      <c r="I626" s="384" t="s">
        <v>1581</v>
      </c>
      <c r="J626" s="30" t="s">
        <v>1956</v>
      </c>
      <c r="K626" s="30"/>
      <c r="L626" s="30"/>
      <c r="M626" s="30"/>
      <c r="N626" s="2"/>
    </row>
    <row r="627" spans="1:14" ht="30.75" customHeight="1">
      <c r="A627" s="47" t="s">
        <v>1384</v>
      </c>
      <c r="B627" s="39" t="s">
        <v>1385</v>
      </c>
      <c r="C627" s="40"/>
      <c r="D627" s="41"/>
      <c r="E627" s="41"/>
      <c r="F627" s="23"/>
      <c r="G627" s="42">
        <f t="shared" si="81"/>
        <v>0</v>
      </c>
      <c r="H627" s="557"/>
      <c r="I627" s="384"/>
      <c r="J627" s="30"/>
      <c r="K627" s="30"/>
      <c r="L627" s="30"/>
      <c r="M627" s="30"/>
      <c r="N627" s="2"/>
    </row>
    <row r="628" spans="1:14" ht="24.75" customHeight="1">
      <c r="A628" s="47" t="s">
        <v>1386</v>
      </c>
      <c r="B628" s="39" t="s">
        <v>1387</v>
      </c>
      <c r="C628" s="40"/>
      <c r="D628" s="41"/>
      <c r="E628" s="41"/>
      <c r="F628" s="23" t="s">
        <v>1258</v>
      </c>
      <c r="G628" s="42">
        <f t="shared" si="81"/>
        <v>1</v>
      </c>
      <c r="H628" s="557"/>
      <c r="I628" s="384" t="s">
        <v>1755</v>
      </c>
      <c r="J628" s="30" t="s">
        <v>1956</v>
      </c>
      <c r="K628" s="30"/>
      <c r="L628" s="30"/>
      <c r="M628" s="30"/>
      <c r="N628" s="376" t="s">
        <v>1786</v>
      </c>
    </row>
    <row r="629" spans="1:14" ht="24.75" customHeight="1">
      <c r="A629" s="47" t="s">
        <v>1388</v>
      </c>
      <c r="B629" s="39" t="s">
        <v>1389</v>
      </c>
      <c r="C629" s="40"/>
      <c r="D629" s="41"/>
      <c r="E629" s="41"/>
      <c r="F629" s="23"/>
      <c r="G629" s="42">
        <f t="shared" si="81"/>
        <v>0</v>
      </c>
      <c r="H629" s="557"/>
      <c r="I629" s="384" t="s">
        <v>1582</v>
      </c>
      <c r="J629" s="30"/>
      <c r="K629" s="30"/>
      <c r="L629" s="30"/>
      <c r="M629" s="30"/>
      <c r="N629" s="2"/>
    </row>
    <row r="630" spans="1:14" ht="24.75" customHeight="1">
      <c r="A630" s="47" t="s">
        <v>1390</v>
      </c>
      <c r="B630" s="39" t="s">
        <v>1391</v>
      </c>
      <c r="C630" s="40"/>
      <c r="D630" s="41"/>
      <c r="E630" s="41"/>
      <c r="F630" s="23" t="s">
        <v>1258</v>
      </c>
      <c r="G630" s="42">
        <f t="shared" si="81"/>
        <v>1</v>
      </c>
      <c r="H630" s="557"/>
      <c r="I630" s="384" t="s">
        <v>1785</v>
      </c>
      <c r="J630" s="30" t="s">
        <v>1956</v>
      </c>
      <c r="K630" s="30"/>
      <c r="L630" s="30"/>
      <c r="M630" s="30"/>
      <c r="N630" s="2"/>
    </row>
    <row r="631" spans="1:14" ht="41.25" customHeight="1">
      <c r="A631" s="47" t="s">
        <v>1392</v>
      </c>
      <c r="B631" s="39" t="s">
        <v>1393</v>
      </c>
      <c r="C631" s="40"/>
      <c r="D631" s="41"/>
      <c r="E631" s="41"/>
      <c r="F631" s="23"/>
      <c r="G631" s="42">
        <f t="shared" si="81"/>
        <v>0</v>
      </c>
      <c r="H631" s="557"/>
      <c r="I631" s="384" t="s">
        <v>1751</v>
      </c>
      <c r="J631" s="30"/>
      <c r="K631" s="30"/>
      <c r="L631" s="30"/>
      <c r="M631" s="30"/>
      <c r="N631" s="2"/>
    </row>
    <row r="632" spans="1:14" ht="42.75" customHeight="1">
      <c r="A632" s="47" t="s">
        <v>1394</v>
      </c>
      <c r="B632" s="39" t="s">
        <v>1395</v>
      </c>
      <c r="C632" s="40"/>
      <c r="D632" s="41"/>
      <c r="E632" s="41"/>
      <c r="F632" s="23"/>
      <c r="G632" s="42">
        <f t="shared" si="81"/>
        <v>0</v>
      </c>
      <c r="H632" s="557"/>
      <c r="I632" s="384" t="s">
        <v>1751</v>
      </c>
      <c r="J632" s="30"/>
      <c r="K632" s="30"/>
      <c r="L632" s="30"/>
      <c r="M632" s="30"/>
      <c r="N632" s="2"/>
    </row>
    <row r="633" spans="1:14" ht="42.75" customHeight="1">
      <c r="A633" s="47" t="s">
        <v>1396</v>
      </c>
      <c r="B633" s="39" t="s">
        <v>1397</v>
      </c>
      <c r="C633" s="40"/>
      <c r="D633" s="41"/>
      <c r="E633" s="41"/>
      <c r="F633" s="23" t="s">
        <v>1258</v>
      </c>
      <c r="G633" s="42">
        <f t="shared" si="81"/>
        <v>1</v>
      </c>
      <c r="H633" s="557"/>
      <c r="I633" s="384" t="s">
        <v>1752</v>
      </c>
      <c r="J633" s="30" t="s">
        <v>1956</v>
      </c>
      <c r="K633" s="30"/>
      <c r="L633" s="30"/>
      <c r="M633" s="30"/>
      <c r="N633" s="376" t="s">
        <v>1823</v>
      </c>
    </row>
    <row r="634" spans="1:14" ht="48" customHeight="1">
      <c r="A634" s="47" t="s">
        <v>1398</v>
      </c>
      <c r="B634" s="387" t="s">
        <v>1399</v>
      </c>
      <c r="C634" s="40"/>
      <c r="D634" s="41"/>
      <c r="E634" s="41"/>
      <c r="F634" s="23"/>
      <c r="G634" s="42">
        <f t="shared" si="81"/>
        <v>0</v>
      </c>
      <c r="H634" s="557"/>
      <c r="I634" s="384" t="s">
        <v>1821</v>
      </c>
      <c r="J634" s="30"/>
      <c r="K634" s="30"/>
      <c r="L634" s="30"/>
      <c r="M634" s="30"/>
      <c r="N634" s="2"/>
    </row>
    <row r="635" spans="1:14" ht="33" customHeight="1">
      <c r="A635" s="47" t="s">
        <v>1400</v>
      </c>
      <c r="B635" s="39" t="s">
        <v>1401</v>
      </c>
      <c r="C635" s="40"/>
      <c r="D635" s="41"/>
      <c r="E635" s="41"/>
      <c r="F635" s="23"/>
      <c r="G635" s="42">
        <f t="shared" si="81"/>
        <v>0</v>
      </c>
      <c r="H635" s="557"/>
      <c r="I635" s="386"/>
      <c r="J635" s="30"/>
      <c r="K635" s="30"/>
      <c r="L635" s="30"/>
      <c r="M635" s="30"/>
      <c r="N635" s="2"/>
    </row>
    <row r="636" spans="1:14" ht="31.5" customHeight="1">
      <c r="A636" s="48" t="s">
        <v>1402</v>
      </c>
      <c r="B636" s="33" t="s">
        <v>1403</v>
      </c>
      <c r="C636" s="34" t="e">
        <f>VLOOKUP($B$3,[26]QATC26!$B$2:$BX$34,53,FALSE)</f>
        <v>#N/A</v>
      </c>
      <c r="D636" s="35"/>
      <c r="E636" s="196"/>
      <c r="F636" s="34"/>
      <c r="G636" s="36">
        <f>IF(COUNTIF(F637:F643,"Não se aplica")&gt;=2,"Não se aplica",IF(COUNTIF(F637:F643,"Sem classificação")&gt;=2,"Sem classificação",IF(COUNTIF(F637:F643,"Atende")=7,4,IF(COUNTIF(F637:F643,"Atende")&gt;=5,3,IF(COUNTIF(F637:F643,"Atende")&gt;=3,2,IF(COUNTIF(F637:F643,"Atende")&gt;=1,1,0))))))</f>
        <v>3</v>
      </c>
      <c r="H636" s="37"/>
      <c r="I636" s="127"/>
      <c r="J636" s="37"/>
      <c r="K636" s="37"/>
      <c r="L636" s="37"/>
      <c r="M636" s="37"/>
      <c r="N636" s="2"/>
    </row>
    <row r="637" spans="1:14" ht="103.5" customHeight="1">
      <c r="A637" s="47" t="s">
        <v>1404</v>
      </c>
      <c r="B637" s="39" t="s">
        <v>1405</v>
      </c>
      <c r="C637" s="40"/>
      <c r="D637" s="41"/>
      <c r="E637" s="41"/>
      <c r="F637" s="23" t="s">
        <v>1258</v>
      </c>
      <c r="G637" s="42">
        <f t="shared" ref="G637:G643" si="82">IF(F637="Atende",1,0)</f>
        <v>1</v>
      </c>
      <c r="H637" s="562" t="s">
        <v>1406</v>
      </c>
      <c r="I637" s="414" t="s">
        <v>1791</v>
      </c>
      <c r="J637" s="30" t="s">
        <v>1956</v>
      </c>
      <c r="K637" s="30"/>
      <c r="L637" s="30"/>
      <c r="M637" s="30"/>
      <c r="N637" s="309" t="s">
        <v>1583</v>
      </c>
    </row>
    <row r="638" spans="1:14" ht="29.25" customHeight="1">
      <c r="A638" s="47" t="s">
        <v>1407</v>
      </c>
      <c r="B638" s="39" t="s">
        <v>1408</v>
      </c>
      <c r="C638" s="40"/>
      <c r="D638" s="41"/>
      <c r="E638" s="41"/>
      <c r="F638" s="23" t="s">
        <v>1258</v>
      </c>
      <c r="G638" s="42">
        <f t="shared" si="82"/>
        <v>1</v>
      </c>
      <c r="H638" s="557"/>
      <c r="I638" s="306" t="s">
        <v>1584</v>
      </c>
      <c r="J638" s="30" t="s">
        <v>1956</v>
      </c>
      <c r="K638" s="30"/>
      <c r="L638" s="30"/>
      <c r="M638" s="30"/>
      <c r="N638" s="309"/>
    </row>
    <row r="639" spans="1:14" ht="65.25" customHeight="1">
      <c r="A639" s="47" t="s">
        <v>1409</v>
      </c>
      <c r="B639" s="39" t="s">
        <v>1410</v>
      </c>
      <c r="C639" s="40"/>
      <c r="D639" s="41"/>
      <c r="E639" s="41"/>
      <c r="F639" s="23" t="s">
        <v>1258</v>
      </c>
      <c r="G639" s="42">
        <f t="shared" si="82"/>
        <v>1</v>
      </c>
      <c r="H639" s="557"/>
      <c r="I639" s="416" t="s">
        <v>1585</v>
      </c>
      <c r="J639" s="30" t="s">
        <v>1956</v>
      </c>
      <c r="K639" s="30"/>
      <c r="L639" s="30"/>
      <c r="M639" s="30"/>
      <c r="N639" s="309" t="s">
        <v>1583</v>
      </c>
    </row>
    <row r="640" spans="1:14" ht="111.75" customHeight="1">
      <c r="A640" s="47" t="s">
        <v>1411</v>
      </c>
      <c r="B640" s="387" t="s">
        <v>1412</v>
      </c>
      <c r="C640" s="40"/>
      <c r="D640" s="41"/>
      <c r="E640" s="41"/>
      <c r="F640" s="421" t="s">
        <v>1258</v>
      </c>
      <c r="G640" s="42">
        <f t="shared" si="82"/>
        <v>1</v>
      </c>
      <c r="H640" s="557"/>
      <c r="I640" s="307" t="s">
        <v>1586</v>
      </c>
      <c r="J640" s="30" t="s">
        <v>1956</v>
      </c>
      <c r="K640" s="30"/>
      <c r="L640" s="30"/>
      <c r="M640" s="30"/>
      <c r="N640" s="2"/>
    </row>
    <row r="641" spans="1:14" ht="31.5" customHeight="1">
      <c r="A641" s="47" t="s">
        <v>1413</v>
      </c>
      <c r="B641" s="39" t="s">
        <v>1414</v>
      </c>
      <c r="C641" s="40"/>
      <c r="D641" s="41"/>
      <c r="E641" s="41"/>
      <c r="F641" s="23" t="s">
        <v>1258</v>
      </c>
      <c r="G641" s="42">
        <f t="shared" si="82"/>
        <v>1</v>
      </c>
      <c r="H641" s="557"/>
      <c r="I641" s="415" t="s">
        <v>1784</v>
      </c>
      <c r="J641" s="30" t="s">
        <v>1956</v>
      </c>
      <c r="K641" s="30"/>
      <c r="L641" s="30"/>
      <c r="M641" s="30"/>
      <c r="N641" s="376" t="s">
        <v>1780</v>
      </c>
    </row>
    <row r="642" spans="1:14" ht="106.5" customHeight="1">
      <c r="A642" s="47" t="s">
        <v>1415</v>
      </c>
      <c r="B642" s="39" t="s">
        <v>1416</v>
      </c>
      <c r="C642" s="40"/>
      <c r="D642" s="41"/>
      <c r="E642" s="41"/>
      <c r="F642" s="23" t="s">
        <v>1258</v>
      </c>
      <c r="G642" s="42">
        <f t="shared" si="82"/>
        <v>1</v>
      </c>
      <c r="H642" s="557"/>
      <c r="I642" s="308" t="s">
        <v>1587</v>
      </c>
      <c r="J642" s="30" t="s">
        <v>1956</v>
      </c>
      <c r="K642" s="30"/>
      <c r="L642" s="30"/>
      <c r="M642" s="30"/>
      <c r="N642" s="2"/>
    </row>
    <row r="643" spans="1:14" ht="33.75" customHeight="1">
      <c r="A643" s="47" t="s">
        <v>1417</v>
      </c>
      <c r="B643" s="39" t="s">
        <v>1418</v>
      </c>
      <c r="C643" s="40"/>
      <c r="D643" s="53"/>
      <c r="E643" s="53"/>
      <c r="F643" s="23"/>
      <c r="G643" s="42">
        <f t="shared" si="82"/>
        <v>0</v>
      </c>
      <c r="H643" s="557"/>
      <c r="I643" s="305" t="s">
        <v>1588</v>
      </c>
      <c r="J643" s="30"/>
      <c r="K643" s="30"/>
      <c r="L643" s="30"/>
      <c r="M643" s="30"/>
      <c r="N643" s="2"/>
    </row>
    <row r="644" spans="1:14" ht="30" customHeight="1">
      <c r="A644" s="91" t="s">
        <v>1419</v>
      </c>
      <c r="B644" s="52" t="s">
        <v>1420</v>
      </c>
      <c r="C644" s="13" t="s">
        <v>1421</v>
      </c>
      <c r="D644" s="53"/>
      <c r="E644" s="17">
        <f>SUM(G646,G656)</f>
        <v>7</v>
      </c>
      <c r="F644" s="158"/>
      <c r="G644" s="19" t="str">
        <f>IF(H644&gt;=2,"Não se aplica",IF(I644&gt;=2,"Sem classificação",IF(F644=4,IF(E644&lt;=2,0,IF(E644&lt;=6,1,IF(E644&lt;=10,2,IF(E644&lt;=14,3,4)))),IF(F644=3,ROUND(AVERAGE(G646,G656),0),IF(F644=2,ROUNDDOWN(AVERAGE(G646,G656),0),"Não se aplica")))))</f>
        <v>Não se aplica</v>
      </c>
      <c r="H644" s="20">
        <f>COUNTIF(G646:G656,"Não se aplica")</f>
        <v>0</v>
      </c>
      <c r="I644" s="21"/>
      <c r="J644" s="22"/>
      <c r="K644" s="22"/>
      <c r="L644" s="22"/>
      <c r="M644" s="22"/>
      <c r="N644" s="2"/>
    </row>
    <row r="645" spans="1:14" ht="27" customHeight="1">
      <c r="A645" s="47" t="s">
        <v>18</v>
      </c>
      <c r="B645" s="157" t="s">
        <v>19</v>
      </c>
      <c r="C645" s="23"/>
      <c r="D645" s="164"/>
      <c r="E645" s="164"/>
      <c r="F645" s="56"/>
      <c r="G645" s="28"/>
      <c r="H645" s="29"/>
      <c r="I645" s="30"/>
      <c r="J645" s="149"/>
      <c r="K645" s="30"/>
      <c r="L645" s="30"/>
      <c r="M645" s="30"/>
      <c r="N645" s="2"/>
    </row>
    <row r="646" spans="1:14" ht="30" customHeight="1">
      <c r="A646" s="48" t="s">
        <v>1422</v>
      </c>
      <c r="B646" s="33" t="s">
        <v>1423</v>
      </c>
      <c r="C646" s="34" t="e">
        <f>VLOOKUP($B$3,[27]QATC27!$B$2:$AN$34,2,FALSE)</f>
        <v>#N/A</v>
      </c>
      <c r="D646" s="35"/>
      <c r="E646" s="196"/>
      <c r="F646" s="34"/>
      <c r="G646" s="97">
        <f>IF(COUNTIF(F647:F655,"Não se aplica")&gt;=2,"Não se aplica",IF(COUNTIF(F647:F655,"Sem classificação")&gt;=2,"Sem classificação",IF(COUNTIF(F647:F655,"Atende")=9,4,IF(COUNTIF(F647:F655,"Atende")&gt;=7,3,IF(COUNTIF(F647:F655,"Atende")&gt;=4,2,IF(COUNTIF(F647:F655,"Atende")&gt;=2,1,0))))))</f>
        <v>4</v>
      </c>
      <c r="H646" s="34"/>
      <c r="I646" s="37"/>
      <c r="J646" s="378"/>
      <c r="K646" s="37"/>
      <c r="L646" s="37"/>
      <c r="M646" s="37"/>
    </row>
    <row r="647" spans="1:14" ht="24" customHeight="1">
      <c r="A647" s="47" t="s">
        <v>1424</v>
      </c>
      <c r="B647" s="39" t="s">
        <v>1425</v>
      </c>
      <c r="C647" s="40"/>
      <c r="D647" s="41"/>
      <c r="E647" s="41"/>
      <c r="F647" s="23" t="s">
        <v>1258</v>
      </c>
      <c r="G647" s="42">
        <f t="shared" ref="G647:G655" si="83">IF(F647="Atende",1,0)</f>
        <v>1</v>
      </c>
      <c r="H647" s="561" t="s">
        <v>1426</v>
      </c>
      <c r="I647" s="368" t="s">
        <v>1708</v>
      </c>
      <c r="J647" s="380" t="s">
        <v>1956</v>
      </c>
      <c r="K647" s="149"/>
      <c r="L647" s="30"/>
      <c r="M647" s="30"/>
      <c r="N647" s="376" t="s">
        <v>1707</v>
      </c>
    </row>
    <row r="648" spans="1:14" ht="34.5" customHeight="1">
      <c r="A648" s="47" t="s">
        <v>1427</v>
      </c>
      <c r="B648" s="39" t="s">
        <v>1428</v>
      </c>
      <c r="C648" s="40"/>
      <c r="D648" s="41"/>
      <c r="E648" s="41"/>
      <c r="F648" s="23" t="s">
        <v>1258</v>
      </c>
      <c r="G648" s="42">
        <f t="shared" si="83"/>
        <v>1</v>
      </c>
      <c r="H648" s="557"/>
      <c r="I648" s="377" t="s">
        <v>1709</v>
      </c>
      <c r="J648" s="379" t="s">
        <v>1956</v>
      </c>
      <c r="K648" s="54"/>
      <c r="L648" s="54"/>
      <c r="M648" s="54"/>
      <c r="N648" s="376" t="s">
        <v>1707</v>
      </c>
    </row>
    <row r="649" spans="1:14" ht="33" customHeight="1">
      <c r="A649" s="47" t="s">
        <v>1429</v>
      </c>
      <c r="B649" s="39" t="s">
        <v>1430</v>
      </c>
      <c r="C649" s="40"/>
      <c r="D649" s="41"/>
      <c r="E649" s="41"/>
      <c r="F649" s="23" t="s">
        <v>1258</v>
      </c>
      <c r="G649" s="42">
        <f t="shared" si="83"/>
        <v>1</v>
      </c>
      <c r="H649" s="557"/>
      <c r="I649" s="381" t="s">
        <v>1710</v>
      </c>
      <c r="J649" s="31" t="s">
        <v>1956</v>
      </c>
      <c r="K649" s="54"/>
      <c r="L649" s="54"/>
      <c r="M649" s="54"/>
      <c r="N649" s="398" t="s">
        <v>1707</v>
      </c>
    </row>
    <row r="650" spans="1:14" ht="30.75" customHeight="1">
      <c r="A650" s="47" t="s">
        <v>1431</v>
      </c>
      <c r="B650" s="39" t="s">
        <v>1432</v>
      </c>
      <c r="C650" s="40"/>
      <c r="D650" s="41"/>
      <c r="E650" s="41"/>
      <c r="F650" s="23" t="s">
        <v>1258</v>
      </c>
      <c r="G650" s="42">
        <f t="shared" si="83"/>
        <v>1</v>
      </c>
      <c r="H650" s="557"/>
      <c r="I650" s="310" t="s">
        <v>1793</v>
      </c>
      <c r="J650" s="200" t="s">
        <v>1956</v>
      </c>
      <c r="K650" s="54"/>
      <c r="L650" s="54"/>
      <c r="M650" s="54"/>
      <c r="N650" s="2"/>
    </row>
    <row r="651" spans="1:14" ht="33" customHeight="1">
      <c r="A651" s="47" t="s">
        <v>1434</v>
      </c>
      <c r="B651" s="39" t="s">
        <v>1435</v>
      </c>
      <c r="C651" s="40"/>
      <c r="D651" s="41"/>
      <c r="E651" s="41"/>
      <c r="F651" s="23" t="s">
        <v>1258</v>
      </c>
      <c r="G651" s="42">
        <f t="shared" si="83"/>
        <v>1</v>
      </c>
      <c r="H651" s="557"/>
      <c r="I651" s="383" t="s">
        <v>1711</v>
      </c>
      <c r="J651" s="157" t="s">
        <v>1956</v>
      </c>
      <c r="K651" s="54"/>
      <c r="L651" s="54"/>
      <c r="M651" s="54"/>
      <c r="N651" s="376" t="s">
        <v>1707</v>
      </c>
    </row>
    <row r="652" spans="1:14" ht="32.25" customHeight="1">
      <c r="A652" s="47" t="s">
        <v>1436</v>
      </c>
      <c r="B652" s="39" t="s">
        <v>1437</v>
      </c>
      <c r="C652" s="40"/>
      <c r="D652" s="41"/>
      <c r="E652" s="41"/>
      <c r="F652" s="23" t="s">
        <v>1258</v>
      </c>
      <c r="G652" s="42">
        <f t="shared" si="83"/>
        <v>1</v>
      </c>
      <c r="H652" s="557"/>
      <c r="I652" s="309" t="s">
        <v>1589</v>
      </c>
      <c r="J652" s="54" t="s">
        <v>1956</v>
      </c>
      <c r="K652" s="54"/>
      <c r="L652" s="54"/>
      <c r="M652" s="54"/>
      <c r="N652" s="2"/>
    </row>
    <row r="653" spans="1:14" ht="42" customHeight="1">
      <c r="A653" s="47" t="s">
        <v>1438</v>
      </c>
      <c r="B653" s="39" t="s">
        <v>1439</v>
      </c>
      <c r="C653" s="40"/>
      <c r="D653" s="41"/>
      <c r="E653" s="41"/>
      <c r="F653" s="23" t="s">
        <v>1258</v>
      </c>
      <c r="G653" s="42">
        <f t="shared" si="83"/>
        <v>1</v>
      </c>
      <c r="H653" s="557"/>
      <c r="I653" s="416" t="s">
        <v>1835</v>
      </c>
      <c r="J653" s="545" t="s">
        <v>1956</v>
      </c>
      <c r="K653" s="54"/>
      <c r="L653" s="54"/>
      <c r="M653" s="54"/>
      <c r="N653" s="376" t="s">
        <v>1707</v>
      </c>
    </row>
    <row r="654" spans="1:14" ht="30" customHeight="1">
      <c r="A654" s="47" t="s">
        <v>1440</v>
      </c>
      <c r="B654" s="39" t="s">
        <v>1441</v>
      </c>
      <c r="C654" s="40"/>
      <c r="D654" s="41"/>
      <c r="E654" s="41"/>
      <c r="F654" s="23" t="s">
        <v>1258</v>
      </c>
      <c r="G654" s="42">
        <f t="shared" si="83"/>
        <v>1</v>
      </c>
      <c r="H654" s="557"/>
      <c r="I654" s="311" t="s">
        <v>1843</v>
      </c>
      <c r="J654" s="54" t="s">
        <v>1956</v>
      </c>
      <c r="K654" s="54"/>
      <c r="L654" s="54"/>
      <c r="M654" s="54"/>
      <c r="N654" s="376" t="s">
        <v>1707</v>
      </c>
    </row>
    <row r="655" spans="1:14" ht="44.25" customHeight="1">
      <c r="A655" s="47" t="s">
        <v>1442</v>
      </c>
      <c r="B655" s="39" t="s">
        <v>1443</v>
      </c>
      <c r="C655" s="40"/>
      <c r="D655" s="41"/>
      <c r="E655" s="41"/>
      <c r="F655" s="23" t="s">
        <v>1258</v>
      </c>
      <c r="G655" s="42">
        <f t="shared" si="83"/>
        <v>1</v>
      </c>
      <c r="H655" s="557"/>
      <c r="I655" s="312" t="s">
        <v>1590</v>
      </c>
      <c r="J655" s="54" t="s">
        <v>1956</v>
      </c>
      <c r="K655" s="54"/>
      <c r="L655" s="54"/>
      <c r="M655" s="54"/>
      <c r="N655" s="376" t="s">
        <v>1707</v>
      </c>
    </row>
    <row r="656" spans="1:14" ht="24.75" customHeight="1">
      <c r="A656" s="48" t="s">
        <v>1444</v>
      </c>
      <c r="B656" s="33" t="s">
        <v>1445</v>
      </c>
      <c r="C656" s="34" t="e">
        <f>VLOOKUP($B$3,[27]QATC27!$B$2:$AN$34,13,FALSE)</f>
        <v>#N/A</v>
      </c>
      <c r="D656" s="35"/>
      <c r="E656" s="196"/>
      <c r="F656" s="37"/>
      <c r="G656" s="36">
        <f>IF(COUNTIF(F657:F664,"Não se aplica")&gt;=2,"Não se aplica",IF(COUNTIF(F657:F664,"Sem classificação")&gt;=2,"Sem classificação",IF(COUNTIF(F657:F664,"Atende")=8,4,IF(COUNTIF(F657:F664,"Atende")&gt;=6,3,IF(COUNTIF(F657:F664,"Atende")&gt;=4,2,IF(COUNTIF(F657:F664,"Atende")&gt;=2,1,0))))))</f>
        <v>3</v>
      </c>
      <c r="H656" s="37"/>
      <c r="I656" s="201"/>
      <c r="J656" s="37"/>
      <c r="K656" s="37"/>
      <c r="L656" s="37"/>
      <c r="M656" s="37"/>
      <c r="N656" s="2"/>
    </row>
    <row r="657" spans="1:15" ht="71.25" customHeight="1">
      <c r="A657" s="47" t="s">
        <v>1446</v>
      </c>
      <c r="B657" s="39" t="s">
        <v>1447</v>
      </c>
      <c r="C657" s="40"/>
      <c r="D657" s="41"/>
      <c r="E657" s="41"/>
      <c r="F657" s="23" t="s">
        <v>1258</v>
      </c>
      <c r="G657" s="42">
        <f t="shared" ref="G657:G664" si="84">IF(F657="Atende",1,0)</f>
        <v>1</v>
      </c>
      <c r="H657" s="559" t="s">
        <v>1448</v>
      </c>
      <c r="I657" s="375" t="s">
        <v>1591</v>
      </c>
      <c r="J657" s="30" t="s">
        <v>1956</v>
      </c>
      <c r="K657" s="30"/>
      <c r="L657" s="30"/>
      <c r="M657" s="30"/>
      <c r="N657" s="376" t="s">
        <v>1761</v>
      </c>
    </row>
    <row r="658" spans="1:15" ht="62.25" customHeight="1">
      <c r="A658" s="47" t="s">
        <v>1449</v>
      </c>
      <c r="B658" s="39" t="s">
        <v>1450</v>
      </c>
      <c r="C658" s="40"/>
      <c r="D658" s="41"/>
      <c r="E658" s="41"/>
      <c r="F658" s="23" t="s">
        <v>1258</v>
      </c>
      <c r="G658" s="42">
        <f t="shared" si="84"/>
        <v>1</v>
      </c>
      <c r="H658" s="557"/>
      <c r="I658" s="313" t="s">
        <v>1592</v>
      </c>
      <c r="J658" s="30" t="s">
        <v>1956</v>
      </c>
      <c r="K658" s="30"/>
      <c r="L658" s="30"/>
      <c r="M658" s="30"/>
      <c r="N658" s="376" t="s">
        <v>1761</v>
      </c>
    </row>
    <row r="659" spans="1:15" ht="62.25" customHeight="1">
      <c r="A659" s="47" t="s">
        <v>1451</v>
      </c>
      <c r="B659" s="39" t="s">
        <v>1452</v>
      </c>
      <c r="C659" s="40"/>
      <c r="D659" s="41"/>
      <c r="E659" s="41"/>
      <c r="F659" s="23" t="s">
        <v>1258</v>
      </c>
      <c r="G659" s="42">
        <f t="shared" si="84"/>
        <v>1</v>
      </c>
      <c r="H659" s="557"/>
      <c r="I659" s="375" t="s">
        <v>1593</v>
      </c>
      <c r="J659" s="30" t="s">
        <v>1956</v>
      </c>
      <c r="K659" s="30"/>
      <c r="L659" s="30"/>
      <c r="M659" s="30"/>
      <c r="N659" s="353" t="s">
        <v>1761</v>
      </c>
      <c r="O659" s="420" t="s">
        <v>1836</v>
      </c>
    </row>
    <row r="660" spans="1:15" ht="74.25" customHeight="1">
      <c r="A660" s="47" t="s">
        <v>1453</v>
      </c>
      <c r="B660" s="39" t="s">
        <v>1454</v>
      </c>
      <c r="C660" s="40"/>
      <c r="D660" s="41"/>
      <c r="E660" s="41"/>
      <c r="F660" s="23" t="s">
        <v>1258</v>
      </c>
      <c r="G660" s="42">
        <f t="shared" si="84"/>
        <v>1</v>
      </c>
      <c r="H660" s="557"/>
      <c r="I660" s="314" t="s">
        <v>1594</v>
      </c>
      <c r="J660" s="30" t="s">
        <v>1956</v>
      </c>
      <c r="K660" s="30"/>
      <c r="L660" s="30"/>
      <c r="M660" s="30"/>
      <c r="N660" s="376" t="s">
        <v>1761</v>
      </c>
    </row>
    <row r="661" spans="1:15" ht="66.75" customHeight="1">
      <c r="A661" s="47" t="s">
        <v>1455</v>
      </c>
      <c r="B661" s="39" t="s">
        <v>1456</v>
      </c>
      <c r="C661" s="40"/>
      <c r="D661" s="41"/>
      <c r="E661" s="41"/>
      <c r="F661" s="23"/>
      <c r="G661" s="42">
        <f t="shared" si="84"/>
        <v>0</v>
      </c>
      <c r="H661" s="557"/>
      <c r="I661" s="315" t="s">
        <v>1595</v>
      </c>
      <c r="J661" s="30"/>
      <c r="K661" s="30"/>
      <c r="L661" s="30"/>
      <c r="M661" s="30"/>
      <c r="N661" s="2"/>
    </row>
    <row r="662" spans="1:15" ht="71.25" customHeight="1">
      <c r="A662" s="47" t="s">
        <v>1457</v>
      </c>
      <c r="B662" s="39" t="s">
        <v>1458</v>
      </c>
      <c r="C662" s="40"/>
      <c r="D662" s="41"/>
      <c r="E662" s="41"/>
      <c r="F662" s="23" t="s">
        <v>1258</v>
      </c>
      <c r="G662" s="42">
        <f t="shared" si="84"/>
        <v>1</v>
      </c>
      <c r="H662" s="557"/>
      <c r="I662" s="375" t="s">
        <v>1596</v>
      </c>
      <c r="J662" s="30" t="s">
        <v>1956</v>
      </c>
      <c r="K662" s="30"/>
      <c r="L662" s="30"/>
      <c r="M662" s="30"/>
      <c r="N662" s="353" t="s">
        <v>1761</v>
      </c>
      <c r="O662" s="413" t="s">
        <v>1837</v>
      </c>
    </row>
    <row r="663" spans="1:15" ht="44.25" customHeight="1">
      <c r="A663" s="38" t="s">
        <v>1459</v>
      </c>
      <c r="B663" s="424" t="s">
        <v>1460</v>
      </c>
      <c r="C663" s="40"/>
      <c r="D663" s="41"/>
      <c r="E663" s="41"/>
      <c r="F663" s="23"/>
      <c r="G663" s="42">
        <f t="shared" si="84"/>
        <v>0</v>
      </c>
      <c r="H663" s="557"/>
      <c r="I663" s="316" t="s">
        <v>1597</v>
      </c>
      <c r="J663" s="54"/>
      <c r="K663" s="54"/>
      <c r="L663" s="54"/>
      <c r="M663" s="54"/>
      <c r="N663" s="2"/>
    </row>
    <row r="664" spans="1:15" ht="59.25" customHeight="1">
      <c r="A664" s="38" t="s">
        <v>1461</v>
      </c>
      <c r="B664" s="39" t="s">
        <v>1462</v>
      </c>
      <c r="C664" s="40"/>
      <c r="D664" s="41"/>
      <c r="E664" s="41"/>
      <c r="F664" s="23" t="s">
        <v>1258</v>
      </c>
      <c r="G664" s="42">
        <f t="shared" si="84"/>
        <v>1</v>
      </c>
      <c r="H664" s="570"/>
      <c r="I664" s="375" t="s">
        <v>1792</v>
      </c>
      <c r="J664" s="54" t="s">
        <v>1956</v>
      </c>
      <c r="K664" s="54"/>
      <c r="L664" s="54"/>
      <c r="M664" s="54"/>
      <c r="N664" s="376" t="s">
        <v>1761</v>
      </c>
    </row>
    <row r="665" spans="1:15" ht="12" customHeight="1">
      <c r="A665" s="1"/>
      <c r="B665" s="2"/>
      <c r="C665" s="2"/>
      <c r="D665" s="2"/>
      <c r="E665" s="2"/>
      <c r="F665" s="2"/>
      <c r="G665" s="2"/>
      <c r="H665" s="2"/>
      <c r="I665" s="2"/>
      <c r="J665" s="31"/>
      <c r="K665" s="31"/>
      <c r="L665" s="31"/>
      <c r="M665" s="31"/>
      <c r="N665" s="2"/>
    </row>
    <row r="666" spans="1:15" ht="27.75" customHeight="1">
      <c r="A666" s="1"/>
      <c r="B666" s="202" t="s">
        <v>1463</v>
      </c>
      <c r="C666" s="203" t="e">
        <f>G7+G27+G55+G67+G87+G115+G151+G164+G196+G209+G252+G288+G314+G329+G336+G350+G368+G386+G432+G458+G494+G517+G542+G579+G610+G644</f>
        <v>#VALUE!</v>
      </c>
      <c r="D666" s="204"/>
      <c r="E666" s="205"/>
      <c r="F666" s="2"/>
      <c r="G666" s="2"/>
      <c r="H666" s="2"/>
      <c r="I666" s="31"/>
      <c r="J666" s="31"/>
      <c r="K666" s="31"/>
      <c r="L666" s="31"/>
      <c r="M666" s="31"/>
    </row>
  </sheetData>
  <mergeCells count="97">
    <mergeCell ref="H461:H475"/>
    <mergeCell ref="H301:H308"/>
    <mergeCell ref="H497:H502"/>
    <mergeCell ref="H478:H481"/>
    <mergeCell ref="H483:H487"/>
    <mergeCell ref="H489:H493"/>
    <mergeCell ref="H322:H328"/>
    <mergeCell ref="H310:H313"/>
    <mergeCell ref="H344:H349"/>
    <mergeCell ref="H317:H320"/>
    <mergeCell ref="H445:H448"/>
    <mergeCell ref="H450:H457"/>
    <mergeCell ref="H435:H443"/>
    <mergeCell ref="H416:H419"/>
    <mergeCell ref="H421:H426"/>
    <mergeCell ref="H428:H431"/>
    <mergeCell ref="H296:H299"/>
    <mergeCell ref="H50:H53"/>
    <mergeCell ref="H76:H79"/>
    <mergeCell ref="H70:H74"/>
    <mergeCell ref="H182:H187"/>
    <mergeCell ref="H189:H195"/>
    <mergeCell ref="H212:H223"/>
    <mergeCell ref="H225:H229"/>
    <mergeCell ref="H231:H240"/>
    <mergeCell ref="H242:H251"/>
    <mergeCell ref="H284:H287"/>
    <mergeCell ref="H291:H294"/>
    <mergeCell ref="H137:H143"/>
    <mergeCell ref="H174:H180"/>
    <mergeCell ref="H167:H172"/>
    <mergeCell ref="H10:H13"/>
    <mergeCell ref="H15:H20"/>
    <mergeCell ref="J5:K5"/>
    <mergeCell ref="H118:H124"/>
    <mergeCell ref="H126:H135"/>
    <mergeCell ref="H102:H114"/>
    <mergeCell ref="H22:H25"/>
    <mergeCell ref="H41:H48"/>
    <mergeCell ref="H563:H567"/>
    <mergeCell ref="H613:H617"/>
    <mergeCell ref="A609:B609"/>
    <mergeCell ref="H589:H594"/>
    <mergeCell ref="H582:H587"/>
    <mergeCell ref="H504:H509"/>
    <mergeCell ref="A367:B367"/>
    <mergeCell ref="A516:B516"/>
    <mergeCell ref="H573:H578"/>
    <mergeCell ref="H511:H515"/>
    <mergeCell ref="H545:H548"/>
    <mergeCell ref="H550:H554"/>
    <mergeCell ref="H532:H536"/>
    <mergeCell ref="H538:H541"/>
    <mergeCell ref="A389:A404"/>
    <mergeCell ref="A406:A414"/>
    <mergeCell ref="H371:H375"/>
    <mergeCell ref="H377:H385"/>
    <mergeCell ref="H389:H414"/>
    <mergeCell ref="H569:H571"/>
    <mergeCell ref="H556:H559"/>
    <mergeCell ref="H637:H643"/>
    <mergeCell ref="H625:H635"/>
    <mergeCell ref="H647:H655"/>
    <mergeCell ref="H657:H664"/>
    <mergeCell ref="H619:H623"/>
    <mergeCell ref="F3:I3"/>
    <mergeCell ref="F2:I2"/>
    <mergeCell ref="H526:H530"/>
    <mergeCell ref="H520:H524"/>
    <mergeCell ref="H603:H608"/>
    <mergeCell ref="H596:H601"/>
    <mergeCell ref="H30:H33"/>
    <mergeCell ref="H277:H282"/>
    <mergeCell ref="H255:H261"/>
    <mergeCell ref="H263:H275"/>
    <mergeCell ref="H204:H207"/>
    <mergeCell ref="H199:H202"/>
    <mergeCell ref="H332:H335"/>
    <mergeCell ref="H359:H366"/>
    <mergeCell ref="H353:H357"/>
    <mergeCell ref="H339:H342"/>
    <mergeCell ref="A2:A5"/>
    <mergeCell ref="A163:B163"/>
    <mergeCell ref="A208:B208"/>
    <mergeCell ref="B4:M4"/>
    <mergeCell ref="L5:M5"/>
    <mergeCell ref="A6:B6"/>
    <mergeCell ref="A54:B54"/>
    <mergeCell ref="A26:B26"/>
    <mergeCell ref="H154:H157"/>
    <mergeCell ref="H159:H162"/>
    <mergeCell ref="H145:H150"/>
    <mergeCell ref="H35:H39"/>
    <mergeCell ref="H90:H100"/>
    <mergeCell ref="H81:H86"/>
    <mergeCell ref="H58:H61"/>
    <mergeCell ref="H63:H66"/>
  </mergeCells>
  <hyperlinks>
    <hyperlink ref="N10" r:id="rId1"/>
    <hyperlink ref="N11" r:id="rId2"/>
    <hyperlink ref="N12" r:id="rId3"/>
    <hyperlink ref="N13" r:id="rId4"/>
    <hyperlink ref="I24" r:id="rId5"/>
    <hyperlink ref="N23" r:id="rId6"/>
    <hyperlink ref="N63" r:id="rId7"/>
    <hyperlink ref="I64" r:id="rId8"/>
    <hyperlink ref="N65" r:id="rId9"/>
    <hyperlink ref="N70" r:id="rId10"/>
    <hyperlink ref="N73" r:id="rId11"/>
    <hyperlink ref="I97" r:id="rId12"/>
    <hyperlink ref="N104" r:id="rId13"/>
    <hyperlink ref="N107" r:id="rId14"/>
    <hyperlink ref="N167" r:id="rId15"/>
    <hyperlink ref="N168" r:id="rId16"/>
    <hyperlink ref="N169" r:id="rId17"/>
    <hyperlink ref="N170" r:id="rId18"/>
    <hyperlink ref="N171" r:id="rId19"/>
    <hyperlink ref="N172" r:id="rId20"/>
    <hyperlink ref="N174" r:id="rId21"/>
    <hyperlink ref="N175" r:id="rId22"/>
    <hyperlink ref="N176" r:id="rId23"/>
    <hyperlink ref="N178" r:id="rId24"/>
    <hyperlink ref="N179" r:id="rId25"/>
    <hyperlink ref="N180" r:id="rId26"/>
    <hyperlink ref="N182" r:id="rId27"/>
    <hyperlink ref="N183" r:id="rId28"/>
    <hyperlink ref="N184" r:id="rId29"/>
    <hyperlink ref="N186" r:id="rId30"/>
    <hyperlink ref="N187" r:id="rId31"/>
    <hyperlink ref="N185" r:id="rId32"/>
    <hyperlink ref="N189" r:id="rId33"/>
    <hyperlink ref="N190" r:id="rId34"/>
    <hyperlink ref="N191" r:id="rId35"/>
    <hyperlink ref="N192" r:id="rId36"/>
    <hyperlink ref="N193" r:id="rId37"/>
    <hyperlink ref="N194" r:id="rId38"/>
    <hyperlink ref="N195" r:id="rId39"/>
    <hyperlink ref="I638" r:id="rId40"/>
    <hyperlink ref="I652" r:id="rId41"/>
    <hyperlink ref="N292" r:id="rId42"/>
    <hyperlink ref="N304" r:id="rId43"/>
    <hyperlink ref="I307" r:id="rId44"/>
    <hyperlink ref="N311" r:id="rId45"/>
    <hyperlink ref="N332" r:id="rId46"/>
    <hyperlink ref="I374" r:id="rId47" display="Cronograma de auditoria "/>
    <hyperlink ref="N15" r:id="rId48"/>
    <hyperlink ref="N16" r:id="rId49"/>
    <hyperlink ref="N17" r:id="rId50"/>
    <hyperlink ref="N18" r:id="rId51"/>
    <hyperlink ref="N19" r:id="rId52"/>
    <hyperlink ref="N25" r:id="rId53"/>
    <hyperlink ref="N20" r:id="rId54"/>
    <hyperlink ref="N71" r:id="rId55"/>
    <hyperlink ref="N72" r:id="rId56"/>
    <hyperlink ref="N74" r:id="rId57"/>
    <hyperlink ref="N78" r:id="rId58"/>
    <hyperlink ref="N76" r:id="rId59"/>
    <hyperlink ref="N81" r:id="rId60"/>
    <hyperlink ref="N84" r:id="rId61"/>
    <hyperlink ref="N124" r:id="rId62"/>
    <hyperlink ref="N134" r:id="rId63"/>
    <hyperlink ref="N135" r:id="rId64"/>
    <hyperlink ref="N154" r:id="rId65"/>
    <hyperlink ref="N157" r:id="rId66"/>
    <hyperlink ref="N613" r:id="rId67"/>
    <hyperlink ref="N614" r:id="rId68"/>
    <hyperlink ref="N637" r:id="rId69"/>
    <hyperlink ref="N22" r:id="rId70"/>
    <hyperlink ref="N30" r:id="rId71"/>
    <hyperlink ref="N31" r:id="rId72"/>
    <hyperlink ref="N32" r:id="rId73"/>
    <hyperlink ref="N33" r:id="rId74"/>
    <hyperlink ref="N35" r:id="rId75"/>
    <hyperlink ref="N36" r:id="rId76"/>
    <hyperlink ref="N37" r:id="rId77"/>
    <hyperlink ref="N38" r:id="rId78"/>
    <hyperlink ref="N39" r:id="rId79"/>
    <hyperlink ref="N41" r:id="rId80"/>
    <hyperlink ref="N42" r:id="rId81"/>
    <hyperlink ref="N43" r:id="rId82"/>
    <hyperlink ref="N44" r:id="rId83"/>
    <hyperlink ref="N45" r:id="rId84"/>
    <hyperlink ref="N46" r:id="rId85"/>
    <hyperlink ref="N47" r:id="rId86"/>
    <hyperlink ref="N50" r:id="rId87"/>
    <hyperlink ref="N51" r:id="rId88"/>
    <hyperlink ref="N52" r:id="rId89"/>
    <hyperlink ref="N90" r:id="rId90"/>
    <hyperlink ref="N199" r:id="rId91"/>
    <hyperlink ref="N126" r:id="rId92"/>
    <hyperlink ref="N127" r:id="rId93"/>
    <hyperlink ref="N129" r:id="rId94"/>
    <hyperlink ref="N128" r:id="rId95"/>
    <hyperlink ref="N131" r:id="rId96"/>
    <hyperlink ref="N79" r:id="rId97"/>
    <hyperlink ref="N85" r:id="rId98"/>
    <hyperlink ref="N83" r:id="rId99"/>
    <hyperlink ref="N143" r:id="rId100"/>
    <hyperlink ref="N142" r:id="rId101"/>
    <hyperlink ref="N139" r:id="rId102"/>
    <hyperlink ref="N120" r:id="rId103"/>
    <hyperlink ref="N118" r:id="rId104"/>
    <hyperlink ref="N207" r:id="rId105"/>
    <hyperlink ref="N200" r:id="rId106"/>
    <hyperlink ref="N648" r:id="rId107"/>
    <hyperlink ref="N651" r:id="rId108"/>
    <hyperlink ref="N647" r:id="rId109"/>
    <hyperlink ref="N649" r:id="rId110"/>
    <hyperlink ref="N653" r:id="rId111"/>
    <hyperlink ref="N212" r:id="rId112"/>
    <hyperlink ref="N228" r:id="rId113"/>
    <hyperlink ref="N229" r:id="rId114"/>
    <hyperlink ref="N235" r:id="rId115"/>
    <hyperlink ref="N242" r:id="rId116"/>
    <hyperlink ref="N243:N245" r:id="rId117" display="..\Evidências\Domínio E\AGILIDADE NO JULGAMENTO DE PROCESSOS E GERENCIAMENTO DE  PRAZOS PELOS TRIBUNAIS DE CONTAS\Medidas para eliminar ou reduzir o estoque de processos e gerenciar os prazos"/>
    <hyperlink ref="N247" r:id="rId118"/>
    <hyperlink ref="N249" r:id="rId119"/>
    <hyperlink ref="N257" r:id="rId120"/>
    <hyperlink ref="N277" r:id="rId121"/>
    <hyperlink ref="N281" r:id="rId122"/>
    <hyperlink ref="N282" r:id="rId123"/>
    <hyperlink ref="N265" r:id="rId124"/>
    <hyperlink ref="N266" r:id="rId125"/>
    <hyperlink ref="N272" r:id="rId126"/>
    <hyperlink ref="N268" r:id="rId127"/>
    <hyperlink ref="N286" r:id="rId128"/>
    <hyperlink ref="N291" r:id="rId129"/>
    <hyperlink ref="N294" r:id="rId130"/>
    <hyperlink ref="N317" r:id="rId131"/>
    <hyperlink ref="N318" r:id="rId132"/>
    <hyperlink ref="N325" r:id="rId133"/>
    <hyperlink ref="N328" r:id="rId134"/>
    <hyperlink ref="N326" r:id="rId135"/>
    <hyperlink ref="N371" r:id="rId136"/>
    <hyperlink ref="N372:N373" r:id="rId137" display="..\Evidências\Domínio F\PLANEJAMENTO GERAL DA AUDITORIA E GESTÃO DA QUALIDADE\Plano de Auditoria"/>
    <hyperlink ref="N390" r:id="rId138"/>
    <hyperlink ref="N391:N400" r:id="rId139" display="..\Evidências\Domínio F\FUNDAMENTOS DA AUDITORIA DE CONFORMIDADE\Normas e orientações da auditoria de conformidade"/>
    <hyperlink ref="N401" r:id="rId140"/>
    <hyperlink ref="N402:N405" r:id="rId141" display="..\Evidências\Domínio F\FUNDAMENTOS DA AUDITORIA DE CONFORMIDADE\Normas e orientações da auditoria de conformidade"/>
    <hyperlink ref="N412" r:id="rId142"/>
    <hyperlink ref="N413:N414" r:id="rId143" display="..\Evidências\Domínio F\FUNDAMENTOS DA AUDITORIA DE CONFORMIDADE\Normas e orientações da auditoria de conformidade"/>
    <hyperlink ref="N407" r:id="rId144"/>
    <hyperlink ref="N408" r:id="rId145"/>
    <hyperlink ref="N416" r:id="rId146"/>
    <hyperlink ref="N418" r:id="rId147"/>
    <hyperlink ref="N435" r:id="rId148"/>
    <hyperlink ref="N436:N437" r:id="rId149" display="..\Evidências\Domínio F\PROCESSO DE AUDITORIA DE CONFORMIDADE\Planejamento de auditorias de conformidade"/>
    <hyperlink ref="N442" r:id="rId150"/>
    <hyperlink ref="N443" r:id="rId151"/>
    <hyperlink ref="N446" r:id="rId152"/>
    <hyperlink ref="N450" r:id="rId153"/>
    <hyperlink ref="N451:N452" r:id="rId154" display="..\Evidências\Domínio F\PROCESSO DE AUDITORIA DE CONFORMIDADE\Avaliação das evidências de auditoria, conclusão e relatório de auditoria de conformidade"/>
    <hyperlink ref="N456" r:id="rId155"/>
    <hyperlink ref="N461" r:id="rId156"/>
    <hyperlink ref="N462:N469" r:id="rId157" display="..\Evidências\Domínio F\FUNDAMENTOS DA AUDITORIA OPERACIONAL\Normas e orientações da auditoria de operacional"/>
    <hyperlink ref="N478" r:id="rId158"/>
    <hyperlink ref="N479" r:id="rId159"/>
    <hyperlink ref="N489" r:id="rId160"/>
    <hyperlink ref="N497" r:id="rId161"/>
    <hyperlink ref="N504" r:id="rId162"/>
    <hyperlink ref="N505:N509" r:id="rId163" display="..\Evidências\Domínio F\PROCESSO DE AUDITORIA OPERACIONAL\Implementação de auditorias operacionais"/>
    <hyperlink ref="N511" r:id="rId164"/>
    <hyperlink ref="N512:N514" r:id="rId165" display="Z:\Evidências\Domínio F\PROCESSO DE AUDITORIA OPERACIONAL\Relatórios de auditorias operacionais"/>
    <hyperlink ref="N515" r:id="rId166"/>
    <hyperlink ref="N524" r:id="rId167"/>
    <hyperlink ref="N530" r:id="rId168"/>
    <hyperlink ref="N563" r:id="rId169"/>
    <hyperlink ref="N569" r:id="rId170"/>
    <hyperlink ref="N571" r:id="rId171"/>
    <hyperlink ref="N582" r:id="rId172"/>
    <hyperlink ref="N583:N586" r:id="rId173" display="..\Evidências\Domínio G\AUDITORIAS COM TEMAS ESPECÍFICOS\Auditoria de obras públicas"/>
    <hyperlink ref="N587" r:id="rId174"/>
    <hyperlink ref="N589" r:id="rId175"/>
    <hyperlink ref="N590:N591" r:id="rId176" display="..\Evidências\Domínio G\AUDITORIAS COM TEMAS ESPECÍFICOS\Auditoria de Concessões Públicas"/>
    <hyperlink ref="N593" r:id="rId177"/>
    <hyperlink ref="N594" r:id="rId178"/>
    <hyperlink ref="N617" r:id="rId179"/>
    <hyperlink ref="N615" r:id="rId180"/>
    <hyperlink ref="N155:N156" r:id="rId181" display="..\Evidências\Domínio C\GESTÃO DE TECNOLOGIA DA INFORMAÇÃO\Estrutura de Tecnologia da Informação"/>
    <hyperlink ref="N202" r:id="rId182"/>
    <hyperlink ref="I113" r:id="rId183"/>
    <hyperlink ref="N110" r:id="rId184"/>
    <hyperlink ref="N664" r:id="rId185"/>
    <hyperlink ref="N91" r:id="rId186"/>
    <hyperlink ref="N341" r:id="rId187"/>
    <hyperlink ref="N344" r:id="rId188"/>
    <hyperlink ref="N345" r:id="rId189"/>
    <hyperlink ref="N310" r:id="rId190"/>
    <hyperlink ref="N133" r:id="rId191"/>
    <hyperlink ref="N137" r:id="rId192"/>
    <hyperlink ref="O74" r:id="rId193"/>
    <hyperlink ref="N86" r:id="rId194"/>
    <hyperlink ref="N141" r:id="rId195"/>
    <hyperlink ref="N641" r:id="rId196"/>
    <hyperlink ref="N348" r:id="rId197"/>
    <hyperlink ref="N147" r:id="rId198"/>
    <hyperlink ref="N625" r:id="rId199"/>
    <hyperlink ref="N628" r:id="rId200"/>
    <hyperlink ref="N148" r:id="rId201"/>
    <hyperlink ref="N657" r:id="rId202"/>
    <hyperlink ref="N658:N660" r:id="rId203" display="Z:\Evidências\Domínio H\OUVIDORIA\Atividades da Ouvidoria"/>
    <hyperlink ref="N662" r:id="rId204"/>
    <hyperlink ref="N655" r:id="rId205"/>
    <hyperlink ref="N119" r:id="rId206"/>
    <hyperlink ref="N132" r:id="rId207"/>
    <hyperlink ref="N138" r:id="rId208"/>
    <hyperlink ref="N149" r:id="rId209"/>
    <hyperlink ref="N633" r:id="rId210"/>
    <hyperlink ref="N619" r:id="rId211"/>
    <hyperlink ref="O619" r:id="rId212"/>
    <hyperlink ref="P619" r:id="rId213"/>
    <hyperlink ref="N622" r:id="rId214"/>
    <hyperlink ref="O622" r:id="rId215"/>
    <hyperlink ref="N621" r:id="rId216"/>
    <hyperlink ref="O621" r:id="rId217"/>
    <hyperlink ref="O620" r:id="rId218"/>
    <hyperlink ref="N620" r:id="rId219"/>
    <hyperlink ref="O659" r:id="rId220"/>
    <hyperlink ref="O662" r:id="rId221"/>
    <hyperlink ref="O237" r:id="rId222"/>
    <hyperlink ref="P237" r:id="rId223"/>
    <hyperlink ref="Q237" r:id="rId224"/>
    <hyperlink ref="N654" r:id="rId225"/>
    <hyperlink ref="N312" r:id="rId226"/>
    <hyperlink ref="I589:I590" r:id="rId227" display="Relatório de Auditoria do Mineirão"/>
    <hyperlink ref="I593:I594" r:id="rId228" display="Relatório de Auditoria do Mineirão"/>
    <hyperlink ref="I591" r:id="rId229"/>
    <hyperlink ref="I592" r:id="rId230"/>
    <hyperlink ref="N575" r:id="rId231"/>
    <hyperlink ref="N547" r:id="rId232"/>
    <hyperlink ref="N558" r:id="rId233"/>
    <hyperlink ref="N578" r:id="rId234"/>
    <hyperlink ref="N498:N501" r:id="rId235" display="..\Evidências\Domínio F\PROCESSO DE AUDITORIA OPERACIONAL\Planejamento de auditorias operacionais"/>
    <hyperlink ref="N548" r:id="rId236"/>
    <hyperlink ref="N604" r:id="rId237"/>
    <hyperlink ref="N605" r:id="rId238"/>
    <hyperlink ref="N606" r:id="rId239"/>
    <hyperlink ref="N608" r:id="rId240"/>
    <hyperlink ref="N607" r:id="rId241"/>
    <hyperlink ref="N474" r:id="rId242"/>
    <hyperlink ref="N557" r:id="rId243"/>
    <hyperlink ref="N603" r:id="rId244"/>
    <hyperlink ref="N536" r:id="rId245"/>
    <hyperlink ref="N225" r:id="rId246"/>
    <hyperlink ref="N248" r:id="rId247"/>
    <hyperlink ref="N258" r:id="rId248"/>
    <hyperlink ref="N255" r:id="rId249"/>
    <hyperlink ref="N339" r:id="rId250"/>
    <hyperlink ref="O341" r:id="rId251"/>
    <hyperlink ref="O256" r:id="rId252"/>
    <hyperlink ref="N299" r:id="rId253"/>
    <hyperlink ref="N246" r:id="rId254"/>
    <hyperlink ref="N264" r:id="rId255"/>
    <hyperlink ref="N302" r:id="rId256"/>
    <hyperlink ref="N448" r:id="rId257"/>
    <hyperlink ref="N297" r:id="rId258"/>
    <hyperlink ref="N441" r:id="rId259"/>
    <hyperlink ref="N471" r:id="rId260"/>
    <hyperlink ref="N301" r:id="rId261"/>
    <hyperlink ref="N472" r:id="rId262"/>
    <hyperlink ref="N481" r:id="rId263"/>
    <hyperlink ref="N227" r:id="rId264"/>
    <hyperlink ref="N445" r:id="rId265"/>
    <hyperlink ref="N493" r:id="rId266"/>
    <hyperlink ref="N491" r:id="rId267"/>
    <hyperlink ref="N457" r:id="rId268"/>
    <hyperlink ref="N455" r:id="rId269"/>
    <hyperlink ref="N475" r:id="rId270"/>
    <hyperlink ref="N177" r:id="rId271"/>
    <hyperlink ref="N256" r:id="rId272"/>
    <hyperlink ref="P256" r:id="rId273"/>
  </hyperlinks>
  <pageMargins left="0.511811024" right="0.511811024" top="0.78740157499999996" bottom="0.78740157499999996" header="0.31496062000000002" footer="0.31496062000000002"/>
  <pageSetup paperSize="9" scale="54" fitToHeight="0" orientation="landscape" r:id="rId274"/>
</worksheet>
</file>

<file path=xl/worksheets/sheet2.xml><?xml version="1.0" encoding="utf-8"?>
<worksheet xmlns="http://schemas.openxmlformats.org/spreadsheetml/2006/main" xmlns:r="http://schemas.openxmlformats.org/officeDocument/2006/relationships">
  <dimension ref="A1:L191"/>
  <sheetViews>
    <sheetView workbookViewId="0">
      <selection sqref="A1:I1"/>
    </sheetView>
  </sheetViews>
  <sheetFormatPr defaultColWidth="17.28515625" defaultRowHeight="15" customHeight="1"/>
  <cols>
    <col min="1" max="1" width="10.42578125" customWidth="1"/>
    <col min="2" max="2" width="33.85546875" customWidth="1"/>
    <col min="3" max="3" width="11.42578125" customWidth="1"/>
    <col min="4" max="4" width="12.28515625" customWidth="1"/>
    <col min="5" max="5" width="9.42578125" customWidth="1"/>
    <col min="6" max="6" width="19.140625" customWidth="1"/>
    <col min="7" max="7" width="13.42578125" customWidth="1"/>
    <col min="8" max="8" width="43.85546875" customWidth="1"/>
    <col min="9" max="9" width="14" customWidth="1"/>
    <col min="10" max="12" width="9.140625" customWidth="1"/>
  </cols>
  <sheetData>
    <row r="1" spans="1:12" ht="126.75" customHeight="1">
      <c r="A1" s="606" t="e">
        <f ca="1">image("http://gdurl.com/nRL4",2)</f>
        <v>#NAME?</v>
      </c>
      <c r="B1" s="549"/>
      <c r="C1" s="549"/>
      <c r="D1" s="549"/>
      <c r="E1" s="549"/>
      <c r="F1" s="549"/>
      <c r="G1" s="549"/>
      <c r="H1" s="549"/>
      <c r="I1" s="549"/>
      <c r="J1" s="9"/>
      <c r="K1" s="9"/>
      <c r="L1" s="9"/>
    </row>
    <row r="2" spans="1:12" ht="66" customHeight="1">
      <c r="A2" s="604" t="s">
        <v>1631</v>
      </c>
      <c r="B2" s="549"/>
      <c r="C2" s="549"/>
      <c r="D2" s="549"/>
      <c r="E2" s="549"/>
      <c r="F2" s="604" t="s">
        <v>26</v>
      </c>
      <c r="G2" s="549"/>
      <c r="H2" s="549"/>
      <c r="I2" s="549"/>
      <c r="J2" s="9"/>
      <c r="K2" s="9"/>
      <c r="L2" s="9"/>
    </row>
    <row r="3" spans="1:12" ht="39" customHeight="1">
      <c r="A3" s="605" t="s">
        <v>28</v>
      </c>
      <c r="B3" s="584"/>
      <c r="C3" s="584"/>
      <c r="D3" s="584"/>
      <c r="E3" s="584"/>
      <c r="F3" s="584"/>
      <c r="G3" s="584"/>
      <c r="H3" s="584"/>
      <c r="I3" s="584"/>
      <c r="J3" s="43"/>
      <c r="K3" s="44"/>
      <c r="L3" s="9"/>
    </row>
    <row r="4" spans="1:12" ht="30.75" customHeight="1">
      <c r="A4" s="550" t="s">
        <v>35</v>
      </c>
      <c r="B4" s="551"/>
      <c r="C4" s="550" t="s">
        <v>36</v>
      </c>
      <c r="D4" s="577"/>
      <c r="E4" s="577"/>
      <c r="F4" s="551"/>
      <c r="G4" s="550" t="s">
        <v>37</v>
      </c>
      <c r="H4" s="551"/>
      <c r="I4" s="46" t="s">
        <v>38</v>
      </c>
      <c r="J4" s="9"/>
      <c r="K4" s="9"/>
      <c r="L4" s="9"/>
    </row>
    <row r="5" spans="1:12" ht="30.75" customHeight="1">
      <c r="A5" s="608" t="s">
        <v>42</v>
      </c>
      <c r="B5" s="607" t="s">
        <v>43</v>
      </c>
      <c r="C5" s="609" t="s">
        <v>46</v>
      </c>
      <c r="D5" s="603" t="s">
        <v>50</v>
      </c>
      <c r="E5" s="549"/>
      <c r="F5" s="588"/>
      <c r="G5" s="610" t="s">
        <v>57</v>
      </c>
      <c r="H5" s="587"/>
      <c r="I5" s="49">
        <f>Critérios!G9</f>
        <v>4</v>
      </c>
      <c r="J5" s="9"/>
      <c r="K5" s="9"/>
      <c r="L5" s="9"/>
    </row>
    <row r="6" spans="1:12" ht="30.75" customHeight="1">
      <c r="A6" s="557"/>
      <c r="B6" s="557"/>
      <c r="C6" s="557"/>
      <c r="D6" s="567"/>
      <c r="E6" s="549"/>
      <c r="F6" s="588"/>
      <c r="G6" s="602" t="s">
        <v>61</v>
      </c>
      <c r="H6" s="551"/>
      <c r="I6" s="49">
        <f>Critérios!G14</f>
        <v>2</v>
      </c>
      <c r="J6" s="9"/>
      <c r="K6" s="9"/>
      <c r="L6" s="9"/>
    </row>
    <row r="7" spans="1:12" ht="30.75" customHeight="1">
      <c r="A7" s="570"/>
      <c r="B7" s="570"/>
      <c r="C7" s="570"/>
      <c r="D7" s="586"/>
      <c r="E7" s="555"/>
      <c r="F7" s="587"/>
      <c r="G7" s="602" t="s">
        <v>71</v>
      </c>
      <c r="H7" s="551"/>
      <c r="I7" s="49">
        <f>Critérios!G21</f>
        <v>4</v>
      </c>
      <c r="J7" s="9"/>
      <c r="K7" s="9"/>
      <c r="L7" s="9"/>
    </row>
    <row r="8" spans="1:12" ht="35.25" customHeight="1">
      <c r="A8" s="599" t="s">
        <v>72</v>
      </c>
      <c r="B8" s="598" t="s">
        <v>73</v>
      </c>
      <c r="C8" s="597" t="s">
        <v>74</v>
      </c>
      <c r="D8" s="583" t="s">
        <v>75</v>
      </c>
      <c r="E8" s="584"/>
      <c r="F8" s="585"/>
      <c r="G8" s="602" t="s">
        <v>78</v>
      </c>
      <c r="H8" s="551"/>
      <c r="I8" s="49">
        <f>Critérios!G29</f>
        <v>4</v>
      </c>
      <c r="J8" s="9"/>
      <c r="K8" s="9"/>
      <c r="L8" s="9"/>
    </row>
    <row r="9" spans="1:12" ht="30.75" customHeight="1">
      <c r="A9" s="557"/>
      <c r="B9" s="557"/>
      <c r="C9" s="557"/>
      <c r="D9" s="567"/>
      <c r="E9" s="549"/>
      <c r="F9" s="588"/>
      <c r="G9" s="602" t="s">
        <v>79</v>
      </c>
      <c r="H9" s="551"/>
      <c r="I9" s="49">
        <f>Critérios!G34</f>
        <v>4</v>
      </c>
      <c r="J9" s="9"/>
      <c r="K9" s="9"/>
      <c r="L9" s="9"/>
    </row>
    <row r="10" spans="1:12" ht="30.75" customHeight="1">
      <c r="A10" s="557"/>
      <c r="B10" s="557"/>
      <c r="C10" s="557"/>
      <c r="D10" s="567"/>
      <c r="E10" s="549"/>
      <c r="F10" s="588"/>
      <c r="G10" s="602" t="s">
        <v>80</v>
      </c>
      <c r="H10" s="551"/>
      <c r="I10" s="49">
        <f>Critérios!G40</f>
        <v>4</v>
      </c>
      <c r="J10" s="9"/>
      <c r="K10" s="9"/>
      <c r="L10" s="9"/>
    </row>
    <row r="11" spans="1:12" ht="30.75" customHeight="1">
      <c r="A11" s="570"/>
      <c r="B11" s="570"/>
      <c r="C11" s="570"/>
      <c r="D11" s="586"/>
      <c r="E11" s="555"/>
      <c r="F11" s="587"/>
      <c r="G11" s="602" t="s">
        <v>85</v>
      </c>
      <c r="H11" s="551"/>
      <c r="I11" s="49">
        <f>Critérios!G49</f>
        <v>3</v>
      </c>
      <c r="J11" s="9"/>
      <c r="K11" s="9"/>
      <c r="L11" s="9"/>
    </row>
    <row r="12" spans="1:12" ht="30.75" customHeight="1">
      <c r="A12" s="599" t="s">
        <v>86</v>
      </c>
      <c r="B12" s="598" t="s">
        <v>87</v>
      </c>
      <c r="C12" s="597" t="s">
        <v>88</v>
      </c>
      <c r="D12" s="583" t="s">
        <v>89</v>
      </c>
      <c r="E12" s="584"/>
      <c r="F12" s="585"/>
      <c r="G12" s="602" t="s">
        <v>90</v>
      </c>
      <c r="H12" s="551"/>
      <c r="I12" s="49">
        <f>Critérios!G57</f>
        <v>0</v>
      </c>
      <c r="J12" s="9"/>
      <c r="K12" s="9"/>
      <c r="L12" s="9"/>
    </row>
    <row r="13" spans="1:12" ht="30.75" customHeight="1">
      <c r="A13" s="557"/>
      <c r="B13" s="557"/>
      <c r="C13" s="570"/>
      <c r="D13" s="586"/>
      <c r="E13" s="555"/>
      <c r="F13" s="587"/>
      <c r="G13" s="602" t="s">
        <v>91</v>
      </c>
      <c r="H13" s="551"/>
      <c r="I13" s="49">
        <f>Critérios!G62</f>
        <v>3</v>
      </c>
      <c r="J13" s="9"/>
      <c r="K13" s="9"/>
      <c r="L13" s="9"/>
    </row>
    <row r="14" spans="1:12" ht="30.75" customHeight="1">
      <c r="A14" s="557"/>
      <c r="B14" s="557"/>
      <c r="C14" s="597" t="s">
        <v>92</v>
      </c>
      <c r="D14" s="583" t="s">
        <v>93</v>
      </c>
      <c r="E14" s="584"/>
      <c r="F14" s="585"/>
      <c r="G14" s="602" t="s">
        <v>94</v>
      </c>
      <c r="H14" s="551"/>
      <c r="I14" s="49">
        <f>Critérios!G69</f>
        <v>4</v>
      </c>
      <c r="J14" s="9"/>
      <c r="K14" s="9"/>
      <c r="L14" s="9"/>
    </row>
    <row r="15" spans="1:12" ht="30.75" customHeight="1">
      <c r="A15" s="557"/>
      <c r="B15" s="557"/>
      <c r="C15" s="557"/>
      <c r="D15" s="567"/>
      <c r="E15" s="549"/>
      <c r="F15" s="588"/>
      <c r="G15" s="602" t="s">
        <v>95</v>
      </c>
      <c r="H15" s="551"/>
      <c r="I15" s="49">
        <f>Critérios!G75</f>
        <v>4</v>
      </c>
      <c r="J15" s="9"/>
      <c r="K15" s="9"/>
      <c r="L15" s="9"/>
    </row>
    <row r="16" spans="1:12" ht="30.75" customHeight="1">
      <c r="A16" s="557"/>
      <c r="B16" s="557"/>
      <c r="C16" s="570"/>
      <c r="D16" s="586"/>
      <c r="E16" s="555"/>
      <c r="F16" s="587"/>
      <c r="G16" s="602" t="s">
        <v>98</v>
      </c>
      <c r="H16" s="551"/>
      <c r="I16" s="49">
        <f>Critérios!G80</f>
        <v>4</v>
      </c>
      <c r="J16" s="9"/>
      <c r="K16" s="9"/>
      <c r="L16" s="9"/>
    </row>
    <row r="17" spans="1:12" ht="30.75" customHeight="1">
      <c r="A17" s="557"/>
      <c r="B17" s="557"/>
      <c r="C17" s="597" t="s">
        <v>102</v>
      </c>
      <c r="D17" s="601" t="s">
        <v>104</v>
      </c>
      <c r="E17" s="584"/>
      <c r="F17" s="585"/>
      <c r="G17" s="602" t="s">
        <v>108</v>
      </c>
      <c r="H17" s="551"/>
      <c r="I17" s="49">
        <f>Critérios!G89</f>
        <v>2</v>
      </c>
      <c r="J17" s="9"/>
      <c r="K17" s="9"/>
      <c r="L17" s="9"/>
    </row>
    <row r="18" spans="1:12" ht="30.75" customHeight="1">
      <c r="A18" s="557"/>
      <c r="B18" s="557"/>
      <c r="C18" s="570"/>
      <c r="D18" s="586"/>
      <c r="E18" s="555"/>
      <c r="F18" s="587"/>
      <c r="G18" s="602" t="s">
        <v>109</v>
      </c>
      <c r="H18" s="551"/>
      <c r="I18" s="49">
        <f>Critérios!G101</f>
        <v>1</v>
      </c>
      <c r="J18" s="9"/>
      <c r="K18" s="9"/>
      <c r="L18" s="9"/>
    </row>
    <row r="19" spans="1:12" ht="30.75" customHeight="1">
      <c r="A19" s="557"/>
      <c r="B19" s="557"/>
      <c r="C19" s="597" t="s">
        <v>110</v>
      </c>
      <c r="D19" s="601" t="s">
        <v>112</v>
      </c>
      <c r="E19" s="584"/>
      <c r="F19" s="585"/>
      <c r="G19" s="602" t="s">
        <v>113</v>
      </c>
      <c r="H19" s="551"/>
      <c r="I19" s="49">
        <f>Critérios!G117</f>
        <v>3</v>
      </c>
      <c r="J19" s="9"/>
      <c r="K19" s="9"/>
      <c r="L19" s="9"/>
    </row>
    <row r="20" spans="1:12" ht="30.75" customHeight="1">
      <c r="A20" s="557"/>
      <c r="B20" s="557"/>
      <c r="C20" s="557"/>
      <c r="D20" s="567"/>
      <c r="E20" s="549"/>
      <c r="F20" s="588"/>
      <c r="G20" s="602" t="s">
        <v>116</v>
      </c>
      <c r="H20" s="551"/>
      <c r="I20" s="49">
        <f>Critérios!G125</f>
        <v>4</v>
      </c>
      <c r="J20" s="9"/>
      <c r="K20" s="9"/>
      <c r="L20" s="9"/>
    </row>
    <row r="21" spans="1:12" ht="30.75" customHeight="1">
      <c r="A21" s="557"/>
      <c r="B21" s="557"/>
      <c r="C21" s="557"/>
      <c r="D21" s="567"/>
      <c r="E21" s="549"/>
      <c r="F21" s="588"/>
      <c r="G21" s="602" t="s">
        <v>119</v>
      </c>
      <c r="H21" s="551"/>
      <c r="I21" s="49">
        <f>Critérios!G136</f>
        <v>4</v>
      </c>
      <c r="J21" s="9"/>
      <c r="K21" s="9"/>
      <c r="L21" s="9"/>
    </row>
    <row r="22" spans="1:12" ht="30.75" customHeight="1">
      <c r="A22" s="557"/>
      <c r="B22" s="557"/>
      <c r="C22" s="570"/>
      <c r="D22" s="586"/>
      <c r="E22" s="555"/>
      <c r="F22" s="587"/>
      <c r="G22" s="602" t="s">
        <v>121</v>
      </c>
      <c r="H22" s="551"/>
      <c r="I22" s="49">
        <f>Critérios!G144</f>
        <v>2</v>
      </c>
      <c r="J22" s="9"/>
      <c r="K22" s="9"/>
      <c r="L22" s="9"/>
    </row>
    <row r="23" spans="1:12" ht="30.75" customHeight="1">
      <c r="A23" s="557"/>
      <c r="B23" s="557"/>
      <c r="C23" s="597" t="s">
        <v>126</v>
      </c>
      <c r="D23" s="583" t="s">
        <v>128</v>
      </c>
      <c r="E23" s="584"/>
      <c r="F23" s="585"/>
      <c r="G23" s="602" t="s">
        <v>131</v>
      </c>
      <c r="H23" s="551"/>
      <c r="I23" s="49">
        <f>Critérios!G153</f>
        <v>4</v>
      </c>
      <c r="J23" s="9"/>
      <c r="K23" s="9"/>
      <c r="L23" s="9"/>
    </row>
    <row r="24" spans="1:12" ht="30.75" customHeight="1">
      <c r="A24" s="570"/>
      <c r="B24" s="570"/>
      <c r="C24" s="570"/>
      <c r="D24" s="586"/>
      <c r="E24" s="555"/>
      <c r="F24" s="587"/>
      <c r="G24" s="602" t="s">
        <v>136</v>
      </c>
      <c r="H24" s="551"/>
      <c r="I24" s="49">
        <f>Critérios!G158</f>
        <v>1</v>
      </c>
      <c r="J24" s="9"/>
      <c r="K24" s="9"/>
      <c r="L24" s="9"/>
    </row>
    <row r="25" spans="1:12" ht="30.75" customHeight="1">
      <c r="A25" s="599" t="s">
        <v>137</v>
      </c>
      <c r="B25" s="598" t="s">
        <v>138</v>
      </c>
      <c r="C25" s="597" t="s">
        <v>139</v>
      </c>
      <c r="D25" s="583" t="s">
        <v>140</v>
      </c>
      <c r="E25" s="584"/>
      <c r="F25" s="585"/>
      <c r="G25" s="602" t="s">
        <v>141</v>
      </c>
      <c r="H25" s="551"/>
      <c r="I25" s="49">
        <f>Critérios!G166</f>
        <v>4</v>
      </c>
      <c r="J25" s="9"/>
      <c r="K25" s="9"/>
      <c r="L25" s="9"/>
    </row>
    <row r="26" spans="1:12" ht="30.75" customHeight="1">
      <c r="A26" s="557"/>
      <c r="B26" s="557"/>
      <c r="C26" s="557"/>
      <c r="D26" s="567"/>
      <c r="E26" s="549"/>
      <c r="F26" s="588"/>
      <c r="G26" s="602" t="s">
        <v>142</v>
      </c>
      <c r="H26" s="551"/>
      <c r="I26" s="49">
        <f>Critérios!G173</f>
        <v>3</v>
      </c>
      <c r="J26" s="9"/>
      <c r="K26" s="9"/>
      <c r="L26" s="9"/>
    </row>
    <row r="27" spans="1:12" ht="30.75" customHeight="1">
      <c r="A27" s="557"/>
      <c r="B27" s="557"/>
      <c r="C27" s="557"/>
      <c r="D27" s="567"/>
      <c r="E27" s="549"/>
      <c r="F27" s="588"/>
      <c r="G27" s="602" t="s">
        <v>145</v>
      </c>
      <c r="H27" s="551"/>
      <c r="I27" s="49">
        <f>Critérios!G181</f>
        <v>2</v>
      </c>
      <c r="J27" s="9"/>
      <c r="K27" s="9"/>
      <c r="L27" s="9"/>
    </row>
    <row r="28" spans="1:12" ht="30.75" customHeight="1">
      <c r="A28" s="557"/>
      <c r="B28" s="557"/>
      <c r="C28" s="570"/>
      <c r="D28" s="586"/>
      <c r="E28" s="555"/>
      <c r="F28" s="587"/>
      <c r="G28" s="602" t="s">
        <v>147</v>
      </c>
      <c r="H28" s="551"/>
      <c r="I28" s="49">
        <f>Critérios!G188</f>
        <v>2</v>
      </c>
      <c r="J28" s="9"/>
      <c r="K28" s="9"/>
      <c r="L28" s="9"/>
    </row>
    <row r="29" spans="1:12" ht="30.75" customHeight="1">
      <c r="A29" s="557"/>
      <c r="B29" s="557"/>
      <c r="C29" s="597" t="s">
        <v>148</v>
      </c>
      <c r="D29" s="601" t="s">
        <v>151</v>
      </c>
      <c r="E29" s="584"/>
      <c r="F29" s="585"/>
      <c r="G29" s="602" t="s">
        <v>152</v>
      </c>
      <c r="H29" s="551"/>
      <c r="I29" s="49">
        <f>Critérios!G198</f>
        <v>4</v>
      </c>
      <c r="J29" s="9"/>
      <c r="K29" s="9"/>
      <c r="L29" s="9"/>
    </row>
    <row r="30" spans="1:12" ht="30.75" customHeight="1">
      <c r="A30" s="570"/>
      <c r="B30" s="570"/>
      <c r="C30" s="570"/>
      <c r="D30" s="586"/>
      <c r="E30" s="555"/>
      <c r="F30" s="587"/>
      <c r="G30" s="602" t="s">
        <v>157</v>
      </c>
      <c r="H30" s="551"/>
      <c r="I30" s="49">
        <f>Critérios!G203</f>
        <v>3</v>
      </c>
      <c r="J30" s="9"/>
      <c r="K30" s="9"/>
      <c r="L30" s="9"/>
    </row>
    <row r="31" spans="1:12" ht="36.75" customHeight="1">
      <c r="A31" s="599" t="s">
        <v>162</v>
      </c>
      <c r="B31" s="598" t="s">
        <v>165</v>
      </c>
      <c r="C31" s="597" t="s">
        <v>168</v>
      </c>
      <c r="D31" s="583" t="s">
        <v>169</v>
      </c>
      <c r="E31" s="584"/>
      <c r="F31" s="585"/>
      <c r="G31" s="602" t="s">
        <v>173</v>
      </c>
      <c r="H31" s="551"/>
      <c r="I31" s="49">
        <f>Critérios!G211</f>
        <v>0</v>
      </c>
      <c r="J31" s="9"/>
      <c r="K31" s="9"/>
      <c r="L31" s="9"/>
    </row>
    <row r="32" spans="1:12" ht="36.75" customHeight="1">
      <c r="A32" s="557"/>
      <c r="B32" s="557"/>
      <c r="C32" s="557"/>
      <c r="D32" s="567"/>
      <c r="E32" s="549"/>
      <c r="F32" s="588"/>
      <c r="G32" s="602" t="s">
        <v>174</v>
      </c>
      <c r="H32" s="551"/>
      <c r="I32" s="49">
        <f>Critérios!G224</f>
        <v>2</v>
      </c>
      <c r="J32" s="9"/>
      <c r="K32" s="9"/>
      <c r="L32" s="9"/>
    </row>
    <row r="33" spans="1:12" ht="37.5" customHeight="1">
      <c r="A33" s="557"/>
      <c r="B33" s="557"/>
      <c r="C33" s="557"/>
      <c r="D33" s="567"/>
      <c r="E33" s="549"/>
      <c r="F33" s="588"/>
      <c r="G33" s="602" t="s">
        <v>175</v>
      </c>
      <c r="H33" s="551"/>
      <c r="I33" s="49">
        <f>Critérios!G230</f>
        <v>1</v>
      </c>
      <c r="J33" s="9"/>
      <c r="K33" s="9"/>
      <c r="L33" s="9"/>
    </row>
    <row r="34" spans="1:12" ht="38.25" customHeight="1">
      <c r="A34" s="557"/>
      <c r="B34" s="557"/>
      <c r="C34" s="570"/>
      <c r="D34" s="586"/>
      <c r="E34" s="555"/>
      <c r="F34" s="587"/>
      <c r="G34" s="602" t="s">
        <v>176</v>
      </c>
      <c r="H34" s="551"/>
      <c r="I34" s="49">
        <f>Critérios!G241</f>
        <v>3</v>
      </c>
      <c r="J34" s="9"/>
      <c r="K34" s="9"/>
      <c r="L34" s="9"/>
    </row>
    <row r="35" spans="1:12" ht="30.75" customHeight="1">
      <c r="A35" s="557"/>
      <c r="B35" s="557"/>
      <c r="C35" s="597" t="s">
        <v>177</v>
      </c>
      <c r="D35" s="583" t="s">
        <v>178</v>
      </c>
      <c r="E35" s="584"/>
      <c r="F35" s="585"/>
      <c r="G35" s="602" t="s">
        <v>179</v>
      </c>
      <c r="H35" s="551"/>
      <c r="I35" s="49">
        <f>Critérios!G254</f>
        <v>2</v>
      </c>
      <c r="J35" s="9"/>
      <c r="K35" s="9"/>
      <c r="L35" s="9"/>
    </row>
    <row r="36" spans="1:12" ht="30.75" customHeight="1">
      <c r="A36" s="557"/>
      <c r="B36" s="557"/>
      <c r="C36" s="557"/>
      <c r="D36" s="567"/>
      <c r="E36" s="549"/>
      <c r="F36" s="588"/>
      <c r="G36" s="602" t="s">
        <v>182</v>
      </c>
      <c r="H36" s="551"/>
      <c r="I36" s="49">
        <f>Critérios!G262</f>
        <v>2</v>
      </c>
      <c r="J36" s="9"/>
      <c r="K36" s="9"/>
      <c r="L36" s="9"/>
    </row>
    <row r="37" spans="1:12" ht="30.75" customHeight="1">
      <c r="A37" s="557"/>
      <c r="B37" s="557"/>
      <c r="C37" s="557"/>
      <c r="D37" s="567"/>
      <c r="E37" s="549"/>
      <c r="F37" s="588"/>
      <c r="G37" s="602" t="s">
        <v>184</v>
      </c>
      <c r="H37" s="551"/>
      <c r="I37" s="49">
        <f>Critérios!G276</f>
        <v>2</v>
      </c>
      <c r="J37" s="9"/>
      <c r="K37" s="9"/>
      <c r="L37" s="9"/>
    </row>
    <row r="38" spans="1:12" ht="30.75" customHeight="1">
      <c r="A38" s="557"/>
      <c r="B38" s="557"/>
      <c r="C38" s="570"/>
      <c r="D38" s="586"/>
      <c r="E38" s="555"/>
      <c r="F38" s="587"/>
      <c r="G38" s="602" t="s">
        <v>187</v>
      </c>
      <c r="H38" s="551"/>
      <c r="I38" s="49">
        <f>Critérios!G283</f>
        <v>3</v>
      </c>
      <c r="J38" s="9"/>
      <c r="K38" s="9"/>
      <c r="L38" s="9"/>
    </row>
    <row r="39" spans="1:12" ht="30.75" customHeight="1">
      <c r="A39" s="557"/>
      <c r="B39" s="557"/>
      <c r="C39" s="597" t="s">
        <v>191</v>
      </c>
      <c r="D39" s="583" t="s">
        <v>194</v>
      </c>
      <c r="E39" s="584"/>
      <c r="F39" s="585"/>
      <c r="G39" s="602" t="s">
        <v>196</v>
      </c>
      <c r="H39" s="551"/>
      <c r="I39" s="49">
        <f>Critérios!G290</f>
        <v>3</v>
      </c>
      <c r="J39" s="9"/>
      <c r="K39" s="9"/>
      <c r="L39" s="9"/>
    </row>
    <row r="40" spans="1:12" ht="30.75" customHeight="1">
      <c r="A40" s="557"/>
      <c r="B40" s="557"/>
      <c r="C40" s="557"/>
      <c r="D40" s="567"/>
      <c r="E40" s="549"/>
      <c r="F40" s="588"/>
      <c r="G40" s="602" t="s">
        <v>198</v>
      </c>
      <c r="H40" s="551"/>
      <c r="I40" s="49">
        <f>Critérios!G295</f>
        <v>2</v>
      </c>
      <c r="J40" s="9"/>
      <c r="K40" s="9"/>
      <c r="L40" s="9"/>
    </row>
    <row r="41" spans="1:12" ht="30.75" customHeight="1">
      <c r="A41" s="557"/>
      <c r="B41" s="557"/>
      <c r="C41" s="557"/>
      <c r="D41" s="567"/>
      <c r="E41" s="549"/>
      <c r="F41" s="588"/>
      <c r="G41" s="602" t="s">
        <v>201</v>
      </c>
      <c r="H41" s="551"/>
      <c r="I41" s="49">
        <f>Critérios!G300</f>
        <v>3</v>
      </c>
      <c r="J41" s="9"/>
      <c r="K41" s="9"/>
      <c r="L41" s="9"/>
    </row>
    <row r="42" spans="1:12" ht="30.75" customHeight="1">
      <c r="A42" s="557"/>
      <c r="B42" s="557"/>
      <c r="C42" s="570"/>
      <c r="D42" s="586"/>
      <c r="E42" s="555"/>
      <c r="F42" s="587"/>
      <c r="G42" s="602" t="s">
        <v>202</v>
      </c>
      <c r="H42" s="551"/>
      <c r="I42" s="49">
        <f>Critérios!G309</f>
        <v>3</v>
      </c>
      <c r="J42" s="9"/>
      <c r="K42" s="9"/>
      <c r="L42" s="9"/>
    </row>
    <row r="43" spans="1:12" ht="30.75" customHeight="1">
      <c r="A43" s="557"/>
      <c r="B43" s="557"/>
      <c r="C43" s="597" t="s">
        <v>203</v>
      </c>
      <c r="D43" s="583" t="s">
        <v>204</v>
      </c>
      <c r="E43" s="584"/>
      <c r="F43" s="585"/>
      <c r="G43" s="602" t="s">
        <v>205</v>
      </c>
      <c r="H43" s="551"/>
      <c r="I43" s="49">
        <f>Critérios!G316</f>
        <v>4</v>
      </c>
      <c r="J43" s="9"/>
      <c r="K43" s="9"/>
      <c r="L43" s="9"/>
    </row>
    <row r="44" spans="1:12" ht="45.75" customHeight="1">
      <c r="A44" s="557"/>
      <c r="B44" s="557"/>
      <c r="C44" s="570"/>
      <c r="D44" s="586"/>
      <c r="E44" s="555"/>
      <c r="F44" s="587"/>
      <c r="G44" s="602" t="s">
        <v>207</v>
      </c>
      <c r="H44" s="551"/>
      <c r="I44" s="49">
        <f>Critérios!G321</f>
        <v>2</v>
      </c>
      <c r="J44" s="9"/>
      <c r="K44" s="9"/>
      <c r="L44" s="9"/>
    </row>
    <row r="45" spans="1:12" ht="36" customHeight="1">
      <c r="A45" s="557"/>
      <c r="B45" s="557"/>
      <c r="C45" s="82" t="s">
        <v>210</v>
      </c>
      <c r="D45" s="600" t="s">
        <v>211</v>
      </c>
      <c r="E45" s="577"/>
      <c r="F45" s="551"/>
      <c r="G45" s="602" t="s">
        <v>214</v>
      </c>
      <c r="H45" s="551"/>
      <c r="I45" s="49">
        <f>Critérios!G331</f>
        <v>1</v>
      </c>
      <c r="J45" s="9"/>
      <c r="K45" s="9"/>
      <c r="L45" s="9"/>
    </row>
    <row r="46" spans="1:12" ht="30.75" customHeight="1">
      <c r="A46" s="557"/>
      <c r="B46" s="557"/>
      <c r="C46" s="597" t="s">
        <v>217</v>
      </c>
      <c r="D46" s="583" t="s">
        <v>218</v>
      </c>
      <c r="E46" s="584"/>
      <c r="F46" s="585"/>
      <c r="G46" s="602" t="s">
        <v>221</v>
      </c>
      <c r="H46" s="551"/>
      <c r="I46" s="49">
        <f>Critérios!G338</f>
        <v>1</v>
      </c>
      <c r="J46" s="9"/>
      <c r="K46" s="9"/>
      <c r="L46" s="9"/>
    </row>
    <row r="47" spans="1:12" ht="30.75" customHeight="1">
      <c r="A47" s="557"/>
      <c r="B47" s="557"/>
      <c r="C47" s="570"/>
      <c r="D47" s="586"/>
      <c r="E47" s="555"/>
      <c r="F47" s="587"/>
      <c r="G47" s="602" t="s">
        <v>226</v>
      </c>
      <c r="H47" s="551"/>
      <c r="I47" s="49">
        <f>Critérios!G343</f>
        <v>1</v>
      </c>
      <c r="J47" s="9"/>
      <c r="K47" s="9"/>
      <c r="L47" s="9"/>
    </row>
    <row r="48" spans="1:12" ht="30.75" customHeight="1">
      <c r="A48" s="557"/>
      <c r="B48" s="557"/>
      <c r="C48" s="597" t="s">
        <v>227</v>
      </c>
      <c r="D48" s="583" t="s">
        <v>228</v>
      </c>
      <c r="E48" s="584"/>
      <c r="F48" s="585"/>
      <c r="G48" s="602" t="s">
        <v>229</v>
      </c>
      <c r="H48" s="551"/>
      <c r="I48" s="49">
        <f>Critérios!G352</f>
        <v>0</v>
      </c>
      <c r="J48" s="9"/>
      <c r="K48" s="9"/>
      <c r="L48" s="9"/>
    </row>
    <row r="49" spans="1:12" ht="30.75" customHeight="1">
      <c r="A49" s="570"/>
      <c r="B49" s="570"/>
      <c r="C49" s="570"/>
      <c r="D49" s="586"/>
      <c r="E49" s="555"/>
      <c r="F49" s="587"/>
      <c r="G49" s="602" t="s">
        <v>231</v>
      </c>
      <c r="H49" s="551"/>
      <c r="I49" s="49">
        <f>Critérios!G358</f>
        <v>0</v>
      </c>
      <c r="J49" s="9"/>
      <c r="K49" s="9"/>
      <c r="L49" s="9"/>
    </row>
    <row r="50" spans="1:12" ht="30.75" customHeight="1">
      <c r="A50" s="599" t="s">
        <v>232</v>
      </c>
      <c r="B50" s="598" t="s">
        <v>233</v>
      </c>
      <c r="C50" s="597" t="s">
        <v>234</v>
      </c>
      <c r="D50" s="583" t="s">
        <v>235</v>
      </c>
      <c r="E50" s="584"/>
      <c r="F50" s="585"/>
      <c r="G50" s="602" t="s">
        <v>236</v>
      </c>
      <c r="H50" s="551"/>
      <c r="I50" s="49">
        <f>Critérios!G370</f>
        <v>2</v>
      </c>
      <c r="J50" s="9"/>
      <c r="K50" s="9"/>
      <c r="L50" s="9"/>
    </row>
    <row r="51" spans="1:12" ht="30.75" customHeight="1">
      <c r="A51" s="557"/>
      <c r="B51" s="557"/>
      <c r="C51" s="570"/>
      <c r="D51" s="586"/>
      <c r="E51" s="555"/>
      <c r="F51" s="587"/>
      <c r="G51" s="602" t="s">
        <v>237</v>
      </c>
      <c r="H51" s="551"/>
      <c r="I51" s="49">
        <f>Critérios!G376</f>
        <v>0</v>
      </c>
      <c r="J51" s="9"/>
      <c r="K51" s="9"/>
      <c r="L51" s="9"/>
    </row>
    <row r="52" spans="1:12" ht="30.75" customHeight="1">
      <c r="A52" s="557"/>
      <c r="B52" s="557"/>
      <c r="C52" s="597" t="s">
        <v>240</v>
      </c>
      <c r="D52" s="583" t="s">
        <v>241</v>
      </c>
      <c r="E52" s="584"/>
      <c r="F52" s="585"/>
      <c r="G52" s="602" t="s">
        <v>242</v>
      </c>
      <c r="H52" s="551"/>
      <c r="I52" s="49">
        <f>Critérios!G388</f>
        <v>0</v>
      </c>
      <c r="J52" s="9"/>
      <c r="K52" s="9"/>
      <c r="L52" s="9"/>
    </row>
    <row r="53" spans="1:12" ht="30.75" customHeight="1">
      <c r="A53" s="557"/>
      <c r="B53" s="557"/>
      <c r="C53" s="557"/>
      <c r="D53" s="567"/>
      <c r="E53" s="549"/>
      <c r="F53" s="588"/>
      <c r="G53" s="602" t="s">
        <v>245</v>
      </c>
      <c r="H53" s="551"/>
      <c r="I53" s="49">
        <f>Critérios!G415</f>
        <v>3</v>
      </c>
      <c r="J53" s="9"/>
      <c r="K53" s="9"/>
      <c r="L53" s="9"/>
    </row>
    <row r="54" spans="1:12" ht="30.75" customHeight="1">
      <c r="A54" s="557"/>
      <c r="B54" s="557"/>
      <c r="C54" s="557"/>
      <c r="D54" s="567"/>
      <c r="E54" s="549"/>
      <c r="F54" s="588"/>
      <c r="G54" s="602" t="s">
        <v>248</v>
      </c>
      <c r="H54" s="551"/>
      <c r="I54" s="49">
        <f>Critérios!G420</f>
        <v>0</v>
      </c>
      <c r="J54" s="9"/>
      <c r="K54" s="9"/>
      <c r="L54" s="9"/>
    </row>
    <row r="55" spans="1:12" ht="30.75" customHeight="1">
      <c r="A55" s="557"/>
      <c r="B55" s="557"/>
      <c r="C55" s="570"/>
      <c r="D55" s="586"/>
      <c r="E55" s="555"/>
      <c r="F55" s="587"/>
      <c r="G55" s="602" t="s">
        <v>250</v>
      </c>
      <c r="H55" s="551"/>
      <c r="I55" s="49">
        <f>Critérios!G427</f>
        <v>4</v>
      </c>
      <c r="J55" s="9"/>
      <c r="K55" s="9"/>
      <c r="L55" s="9"/>
    </row>
    <row r="56" spans="1:12" ht="30.75" customHeight="1">
      <c r="A56" s="557"/>
      <c r="B56" s="557"/>
      <c r="C56" s="597" t="s">
        <v>251</v>
      </c>
      <c r="D56" s="601" t="s">
        <v>252</v>
      </c>
      <c r="E56" s="584"/>
      <c r="F56" s="585"/>
      <c r="G56" s="602" t="s">
        <v>253</v>
      </c>
      <c r="H56" s="551"/>
      <c r="I56" s="49">
        <f>Critérios!G434</f>
        <v>2</v>
      </c>
      <c r="J56" s="9"/>
      <c r="K56" s="9"/>
      <c r="L56" s="9"/>
    </row>
    <row r="57" spans="1:12" ht="30.75" customHeight="1">
      <c r="A57" s="557"/>
      <c r="B57" s="557"/>
      <c r="C57" s="557"/>
      <c r="D57" s="567"/>
      <c r="E57" s="549"/>
      <c r="F57" s="588"/>
      <c r="G57" s="602" t="s">
        <v>254</v>
      </c>
      <c r="H57" s="551"/>
      <c r="I57" s="49">
        <f>Critérios!G444</f>
        <v>3</v>
      </c>
      <c r="J57" s="9"/>
      <c r="K57" s="9"/>
      <c r="L57" s="9"/>
    </row>
    <row r="58" spans="1:12" ht="39" customHeight="1">
      <c r="A58" s="557"/>
      <c r="B58" s="557"/>
      <c r="C58" s="570"/>
      <c r="D58" s="586"/>
      <c r="E58" s="555"/>
      <c r="F58" s="587"/>
      <c r="G58" s="602" t="s">
        <v>255</v>
      </c>
      <c r="H58" s="551"/>
      <c r="I58" s="49">
        <f>Critérios!G449</f>
        <v>3</v>
      </c>
      <c r="J58" s="9"/>
      <c r="K58" s="9"/>
      <c r="L58" s="9"/>
    </row>
    <row r="59" spans="1:12" ht="30.75" customHeight="1">
      <c r="A59" s="557"/>
      <c r="B59" s="557"/>
      <c r="C59" s="597" t="s">
        <v>256</v>
      </c>
      <c r="D59" s="601" t="s">
        <v>257</v>
      </c>
      <c r="E59" s="584"/>
      <c r="F59" s="585"/>
      <c r="G59" s="602" t="s">
        <v>258</v>
      </c>
      <c r="H59" s="551"/>
      <c r="I59" s="49">
        <f>Critérios!G460</f>
        <v>2</v>
      </c>
      <c r="J59" s="9"/>
      <c r="K59" s="9"/>
      <c r="L59" s="9"/>
    </row>
    <row r="60" spans="1:12" ht="30.75" customHeight="1">
      <c r="A60" s="557"/>
      <c r="B60" s="557"/>
      <c r="C60" s="557"/>
      <c r="D60" s="567"/>
      <c r="E60" s="549"/>
      <c r="F60" s="588"/>
      <c r="G60" s="602" t="s">
        <v>261</v>
      </c>
      <c r="H60" s="551"/>
      <c r="I60" s="49">
        <f>Critérios!G477</f>
        <v>3</v>
      </c>
      <c r="J60" s="9"/>
      <c r="K60" s="9"/>
      <c r="L60" s="9"/>
    </row>
    <row r="61" spans="1:12" ht="30.75" customHeight="1">
      <c r="A61" s="557"/>
      <c r="B61" s="557"/>
      <c r="C61" s="557"/>
      <c r="D61" s="567"/>
      <c r="E61" s="549"/>
      <c r="F61" s="588"/>
      <c r="G61" s="602" t="s">
        <v>262</v>
      </c>
      <c r="H61" s="551"/>
      <c r="I61" s="49">
        <f>Critérios!G482</f>
        <v>1</v>
      </c>
      <c r="J61" s="9"/>
      <c r="K61" s="9"/>
      <c r="L61" s="9"/>
    </row>
    <row r="62" spans="1:12" ht="30.75" customHeight="1">
      <c r="A62" s="557"/>
      <c r="B62" s="557"/>
      <c r="C62" s="570"/>
      <c r="D62" s="586"/>
      <c r="E62" s="555"/>
      <c r="F62" s="587"/>
      <c r="G62" s="602" t="s">
        <v>264</v>
      </c>
      <c r="H62" s="551"/>
      <c r="I62" s="49">
        <f>Critérios!G488</f>
        <v>3</v>
      </c>
      <c r="J62" s="9"/>
      <c r="K62" s="9"/>
      <c r="L62" s="9"/>
    </row>
    <row r="63" spans="1:12" ht="30.75" customHeight="1">
      <c r="A63" s="557"/>
      <c r="B63" s="557"/>
      <c r="C63" s="597" t="s">
        <v>267</v>
      </c>
      <c r="D63" s="583" t="s">
        <v>268</v>
      </c>
      <c r="E63" s="584"/>
      <c r="F63" s="585"/>
      <c r="G63" s="602" t="s">
        <v>269</v>
      </c>
      <c r="H63" s="551"/>
      <c r="I63" s="49">
        <f>Critérios!G496</f>
        <v>4</v>
      </c>
      <c r="J63" s="9"/>
      <c r="K63" s="9"/>
      <c r="L63" s="9"/>
    </row>
    <row r="64" spans="1:12" ht="30.75" customHeight="1">
      <c r="A64" s="557"/>
      <c r="B64" s="557"/>
      <c r="C64" s="557"/>
      <c r="D64" s="567"/>
      <c r="E64" s="549"/>
      <c r="F64" s="588"/>
      <c r="G64" s="602" t="s">
        <v>274</v>
      </c>
      <c r="H64" s="551"/>
      <c r="I64" s="49">
        <f>Critérios!G503</f>
        <v>4</v>
      </c>
      <c r="J64" s="9"/>
      <c r="K64" s="9"/>
      <c r="L64" s="9"/>
    </row>
    <row r="65" spans="1:12" ht="30.75" customHeight="1">
      <c r="A65" s="570"/>
      <c r="B65" s="570"/>
      <c r="C65" s="570"/>
      <c r="D65" s="586"/>
      <c r="E65" s="555"/>
      <c r="F65" s="587"/>
      <c r="G65" s="602" t="s">
        <v>279</v>
      </c>
      <c r="H65" s="551"/>
      <c r="I65" s="49">
        <f>Critérios!G510</f>
        <v>4</v>
      </c>
      <c r="J65" s="9"/>
      <c r="K65" s="9"/>
      <c r="L65" s="9"/>
    </row>
    <row r="66" spans="1:12" ht="30.75" customHeight="1">
      <c r="A66" s="599" t="s">
        <v>282</v>
      </c>
      <c r="B66" s="598" t="s">
        <v>283</v>
      </c>
      <c r="C66" s="597" t="s">
        <v>284</v>
      </c>
      <c r="D66" s="583" t="s">
        <v>285</v>
      </c>
      <c r="E66" s="584"/>
      <c r="F66" s="585"/>
      <c r="G66" s="602" t="s">
        <v>287</v>
      </c>
      <c r="H66" s="551"/>
      <c r="I66" s="49">
        <f>Critérios!G519</f>
        <v>0</v>
      </c>
      <c r="J66" s="9"/>
      <c r="K66" s="9"/>
      <c r="L66" s="9"/>
    </row>
    <row r="67" spans="1:12" ht="30.75" customHeight="1">
      <c r="A67" s="557"/>
      <c r="B67" s="557"/>
      <c r="C67" s="557"/>
      <c r="D67" s="567"/>
      <c r="E67" s="549"/>
      <c r="F67" s="588"/>
      <c r="G67" s="602" t="s">
        <v>292</v>
      </c>
      <c r="H67" s="551"/>
      <c r="I67" s="49">
        <f>Critérios!G525</f>
        <v>0</v>
      </c>
      <c r="J67" s="9"/>
      <c r="K67" s="9"/>
      <c r="L67" s="9"/>
    </row>
    <row r="68" spans="1:12" ht="39.75" customHeight="1">
      <c r="A68" s="557"/>
      <c r="B68" s="557"/>
      <c r="C68" s="557"/>
      <c r="D68" s="567"/>
      <c r="E68" s="549"/>
      <c r="F68" s="588"/>
      <c r="G68" s="602" t="s">
        <v>299</v>
      </c>
      <c r="H68" s="551"/>
      <c r="I68" s="49">
        <f>Critérios!G531</f>
        <v>0</v>
      </c>
      <c r="J68" s="9"/>
      <c r="K68" s="9"/>
      <c r="L68" s="9"/>
    </row>
    <row r="69" spans="1:12" ht="54" customHeight="1">
      <c r="A69" s="557"/>
      <c r="B69" s="557"/>
      <c r="C69" s="570"/>
      <c r="D69" s="586"/>
      <c r="E69" s="555"/>
      <c r="F69" s="587"/>
      <c r="G69" s="602" t="s">
        <v>300</v>
      </c>
      <c r="H69" s="551"/>
      <c r="I69" s="49">
        <f>Critérios!G537</f>
        <v>1</v>
      </c>
      <c r="J69" s="9"/>
      <c r="K69" s="9"/>
      <c r="L69" s="9"/>
    </row>
    <row r="70" spans="1:12" ht="30.75" customHeight="1">
      <c r="A70" s="557"/>
      <c r="B70" s="557"/>
      <c r="C70" s="597" t="s">
        <v>302</v>
      </c>
      <c r="D70" s="583" t="s">
        <v>303</v>
      </c>
      <c r="E70" s="584"/>
      <c r="F70" s="585"/>
      <c r="G70" s="602" t="s">
        <v>305</v>
      </c>
      <c r="H70" s="551"/>
      <c r="I70" s="49">
        <f>Critérios!G544</f>
        <v>3</v>
      </c>
      <c r="J70" s="9"/>
      <c r="K70" s="9"/>
      <c r="L70" s="9"/>
    </row>
    <row r="71" spans="1:12" ht="34.5" customHeight="1">
      <c r="A71" s="557"/>
      <c r="B71" s="557"/>
      <c r="C71" s="557"/>
      <c r="D71" s="567"/>
      <c r="E71" s="549"/>
      <c r="F71" s="588"/>
      <c r="G71" s="602" t="s">
        <v>311</v>
      </c>
      <c r="H71" s="551"/>
      <c r="I71" s="49">
        <f>Critérios!G549</f>
        <v>1</v>
      </c>
      <c r="J71" s="9"/>
      <c r="K71" s="9"/>
      <c r="L71" s="9"/>
    </row>
    <row r="72" spans="1:12" ht="51.75" customHeight="1">
      <c r="A72" s="557"/>
      <c r="B72" s="557"/>
      <c r="C72" s="570"/>
      <c r="D72" s="586"/>
      <c r="E72" s="555"/>
      <c r="F72" s="587"/>
      <c r="G72" s="602" t="s">
        <v>319</v>
      </c>
      <c r="H72" s="551"/>
      <c r="I72" s="49">
        <f>Critérios!G555</f>
        <v>3</v>
      </c>
      <c r="J72" s="9"/>
      <c r="K72" s="9"/>
      <c r="L72" s="9"/>
    </row>
    <row r="73" spans="1:12" ht="51.75" customHeight="1">
      <c r="A73" s="557"/>
      <c r="B73" s="557"/>
      <c r="C73" s="597" t="s">
        <v>320</v>
      </c>
      <c r="D73" s="601" t="s">
        <v>321</v>
      </c>
      <c r="E73" s="584"/>
      <c r="F73" s="585"/>
      <c r="G73" s="602" t="s">
        <v>322</v>
      </c>
      <c r="H73" s="551"/>
      <c r="I73" s="49">
        <f>Critérios!G562</f>
        <v>1</v>
      </c>
      <c r="J73" s="9"/>
      <c r="K73" s="9"/>
      <c r="L73" s="9"/>
    </row>
    <row r="74" spans="1:12" ht="51.75" customHeight="1">
      <c r="A74" s="557"/>
      <c r="B74" s="557"/>
      <c r="C74" s="557"/>
      <c r="D74" s="567"/>
      <c r="E74" s="549"/>
      <c r="F74" s="588"/>
      <c r="G74" s="602" t="s">
        <v>323</v>
      </c>
      <c r="H74" s="551"/>
      <c r="I74" s="49">
        <f>Critérios!G568</f>
        <v>1</v>
      </c>
      <c r="J74" s="9"/>
      <c r="K74" s="9"/>
      <c r="L74" s="9"/>
    </row>
    <row r="75" spans="1:12" ht="51.75" customHeight="1">
      <c r="A75" s="557"/>
      <c r="B75" s="557"/>
      <c r="C75" s="570"/>
      <c r="D75" s="586"/>
      <c r="E75" s="555"/>
      <c r="F75" s="587"/>
      <c r="G75" s="602" t="s">
        <v>326</v>
      </c>
      <c r="H75" s="551"/>
      <c r="I75" s="49">
        <f>Critérios!G572</f>
        <v>1</v>
      </c>
      <c r="J75" s="9"/>
      <c r="K75" s="9"/>
      <c r="L75" s="9"/>
    </row>
    <row r="76" spans="1:12" ht="51.75" customHeight="1">
      <c r="A76" s="557"/>
      <c r="B76" s="557"/>
      <c r="C76" s="597" t="s">
        <v>327</v>
      </c>
      <c r="D76" s="583" t="s">
        <v>328</v>
      </c>
      <c r="E76" s="584"/>
      <c r="F76" s="585"/>
      <c r="G76" s="602" t="s">
        <v>329</v>
      </c>
      <c r="H76" s="551"/>
      <c r="I76" s="49">
        <f>Critérios!G581</f>
        <v>4</v>
      </c>
      <c r="J76" s="9"/>
      <c r="K76" s="9"/>
      <c r="L76" s="9"/>
    </row>
    <row r="77" spans="1:12" ht="51.75" customHeight="1">
      <c r="A77" s="557"/>
      <c r="B77" s="557"/>
      <c r="C77" s="557"/>
      <c r="D77" s="567"/>
      <c r="E77" s="549"/>
      <c r="F77" s="588"/>
      <c r="G77" s="602" t="s">
        <v>330</v>
      </c>
      <c r="H77" s="551"/>
      <c r="I77" s="49">
        <f>Critérios!G588</f>
        <v>4</v>
      </c>
      <c r="J77" s="9"/>
      <c r="K77" s="9"/>
      <c r="L77" s="9"/>
    </row>
    <row r="78" spans="1:12" ht="51.75" customHeight="1">
      <c r="A78" s="557"/>
      <c r="B78" s="557"/>
      <c r="C78" s="557"/>
      <c r="D78" s="567"/>
      <c r="E78" s="549"/>
      <c r="F78" s="588"/>
      <c r="G78" s="602" t="s">
        <v>331</v>
      </c>
      <c r="H78" s="551"/>
      <c r="I78" s="49">
        <f>Critérios!G595</f>
        <v>0</v>
      </c>
      <c r="J78" s="9"/>
      <c r="K78" s="9"/>
      <c r="L78" s="9"/>
    </row>
    <row r="79" spans="1:12" ht="51.75" customHeight="1">
      <c r="A79" s="570"/>
      <c r="B79" s="570"/>
      <c r="C79" s="570"/>
      <c r="D79" s="586"/>
      <c r="E79" s="555"/>
      <c r="F79" s="587"/>
      <c r="G79" s="602" t="s">
        <v>335</v>
      </c>
      <c r="H79" s="551"/>
      <c r="I79" s="49">
        <f>Critérios!G602</f>
        <v>2</v>
      </c>
      <c r="J79" s="9"/>
      <c r="K79" s="9"/>
      <c r="L79" s="9"/>
    </row>
    <row r="80" spans="1:12" ht="30.75" customHeight="1">
      <c r="A80" s="599" t="s">
        <v>337</v>
      </c>
      <c r="B80" s="598" t="s">
        <v>340</v>
      </c>
      <c r="C80" s="597" t="s">
        <v>341</v>
      </c>
      <c r="D80" s="583" t="s">
        <v>342</v>
      </c>
      <c r="E80" s="584"/>
      <c r="F80" s="585"/>
      <c r="G80" s="602" t="s">
        <v>343</v>
      </c>
      <c r="H80" s="551"/>
      <c r="I80" s="49">
        <f>Critérios!G612</f>
        <v>2</v>
      </c>
      <c r="J80" s="9"/>
      <c r="K80" s="9"/>
      <c r="L80" s="9"/>
    </row>
    <row r="81" spans="1:12" ht="41.25" customHeight="1">
      <c r="A81" s="557"/>
      <c r="B81" s="557"/>
      <c r="C81" s="557"/>
      <c r="D81" s="567"/>
      <c r="E81" s="549"/>
      <c r="F81" s="588"/>
      <c r="G81" s="602" t="s">
        <v>346</v>
      </c>
      <c r="H81" s="551"/>
      <c r="I81" s="49">
        <f>Critérios!G618</f>
        <v>3</v>
      </c>
      <c r="J81" s="9"/>
      <c r="K81" s="9"/>
      <c r="L81" s="9"/>
    </row>
    <row r="82" spans="1:12" ht="34.5" customHeight="1">
      <c r="A82" s="557"/>
      <c r="B82" s="557"/>
      <c r="C82" s="557"/>
      <c r="D82" s="567"/>
      <c r="E82" s="549"/>
      <c r="F82" s="588"/>
      <c r="G82" s="602" t="s">
        <v>350</v>
      </c>
      <c r="H82" s="551"/>
      <c r="I82" s="49">
        <f>Critérios!G624</f>
        <v>1</v>
      </c>
      <c r="J82" s="9"/>
      <c r="K82" s="9"/>
      <c r="L82" s="9"/>
    </row>
    <row r="83" spans="1:12" ht="40.5" customHeight="1">
      <c r="A83" s="557"/>
      <c r="B83" s="557"/>
      <c r="C83" s="570"/>
      <c r="D83" s="586"/>
      <c r="E83" s="555"/>
      <c r="F83" s="587"/>
      <c r="G83" s="602" t="s">
        <v>354</v>
      </c>
      <c r="H83" s="551"/>
      <c r="I83" s="49">
        <f>Critérios!G636</f>
        <v>3</v>
      </c>
      <c r="J83" s="9"/>
      <c r="K83" s="9"/>
      <c r="L83" s="9"/>
    </row>
    <row r="84" spans="1:12" ht="30.75" customHeight="1">
      <c r="A84" s="557"/>
      <c r="B84" s="557"/>
      <c r="C84" s="597" t="s">
        <v>359</v>
      </c>
      <c r="D84" s="583" t="s">
        <v>360</v>
      </c>
      <c r="E84" s="584"/>
      <c r="F84" s="585"/>
      <c r="G84" s="602" t="s">
        <v>361</v>
      </c>
      <c r="H84" s="551"/>
      <c r="I84" s="49">
        <f>Critérios!G646</f>
        <v>4</v>
      </c>
      <c r="J84" s="9"/>
      <c r="K84" s="9"/>
      <c r="L84" s="9"/>
    </row>
    <row r="85" spans="1:12" ht="30.75" customHeight="1">
      <c r="A85" s="570"/>
      <c r="B85" s="570"/>
      <c r="C85" s="570"/>
      <c r="D85" s="586"/>
      <c r="E85" s="555"/>
      <c r="F85" s="587"/>
      <c r="G85" s="602" t="s">
        <v>364</v>
      </c>
      <c r="H85" s="551"/>
      <c r="I85" s="49">
        <f>Critérios!G656</f>
        <v>3</v>
      </c>
      <c r="J85" s="9"/>
      <c r="K85" s="9"/>
      <c r="L85" s="9"/>
    </row>
    <row r="86" spans="1:12" ht="30.75" customHeight="1">
      <c r="A86" s="582" t="s">
        <v>367</v>
      </c>
      <c r="B86" s="551"/>
      <c r="C86" s="82">
        <v>27</v>
      </c>
      <c r="D86" s="600">
        <v>27</v>
      </c>
      <c r="E86" s="577"/>
      <c r="F86" s="551"/>
      <c r="G86" s="600">
        <v>81</v>
      </c>
      <c r="H86" s="551"/>
      <c r="I86" s="105">
        <f>SUM(I5:I85)</f>
        <v>189</v>
      </c>
      <c r="J86" s="9"/>
      <c r="K86" s="9"/>
      <c r="L86" s="9"/>
    </row>
    <row r="87" spans="1:12" ht="30.75" customHeight="1">
      <c r="A87" s="106"/>
      <c r="B87" s="106"/>
      <c r="C87" s="107"/>
      <c r="D87" s="108"/>
      <c r="E87" s="108"/>
      <c r="F87" s="108"/>
      <c r="G87" s="108"/>
      <c r="H87" s="109" t="s">
        <v>375</v>
      </c>
      <c r="I87" s="110" t="e">
        <f>Critérios!C666</f>
        <v>#VALUE!</v>
      </c>
      <c r="J87" s="9"/>
      <c r="K87" s="9"/>
      <c r="L87" s="9"/>
    </row>
    <row r="88" spans="1:12" ht="30.75" customHeight="1">
      <c r="A88" s="106"/>
      <c r="B88" s="106"/>
      <c r="C88" s="107"/>
      <c r="D88" s="108"/>
      <c r="E88" s="108"/>
      <c r="F88" s="108"/>
      <c r="G88" s="108"/>
      <c r="H88" s="108"/>
      <c r="I88" s="111"/>
      <c r="J88" s="9"/>
      <c r="K88" s="9"/>
      <c r="L88" s="9"/>
    </row>
    <row r="89" spans="1:12" ht="24" customHeight="1">
      <c r="A89" s="595" t="s">
        <v>384</v>
      </c>
      <c r="B89" s="577"/>
      <c r="C89" s="577"/>
      <c r="D89" s="577"/>
      <c r="E89" s="577"/>
      <c r="F89" s="577"/>
      <c r="G89" s="577"/>
      <c r="H89" s="577"/>
      <c r="I89" s="551"/>
      <c r="J89" s="112"/>
      <c r="K89" s="112"/>
      <c r="L89" s="112"/>
    </row>
    <row r="90" spans="1:12" ht="31.5" customHeight="1">
      <c r="A90" s="596" t="s">
        <v>393</v>
      </c>
      <c r="B90" s="577"/>
      <c r="C90" s="577"/>
      <c r="D90" s="577"/>
      <c r="E90" s="577"/>
      <c r="F90" s="577"/>
      <c r="G90" s="577"/>
      <c r="H90" s="577"/>
      <c r="I90" s="551"/>
      <c r="J90" s="9"/>
      <c r="K90" s="9"/>
      <c r="L90" s="9"/>
    </row>
    <row r="91" spans="1:12" ht="75" customHeight="1">
      <c r="A91" s="594" t="s">
        <v>400</v>
      </c>
      <c r="B91" s="577"/>
      <c r="C91" s="577"/>
      <c r="D91" s="577"/>
      <c r="E91" s="577"/>
      <c r="F91" s="577"/>
      <c r="G91" s="577"/>
      <c r="H91" s="577"/>
      <c r="I91" s="551"/>
      <c r="J91" s="9"/>
      <c r="K91" s="9"/>
      <c r="L91" s="9"/>
    </row>
    <row r="92" spans="1:12" ht="79.5" customHeight="1">
      <c r="A92" s="593" t="s">
        <v>403</v>
      </c>
      <c r="B92" s="549"/>
      <c r="C92" s="549"/>
      <c r="D92" s="549"/>
      <c r="E92" s="549"/>
      <c r="F92" s="549"/>
      <c r="G92" s="549"/>
      <c r="H92" s="549"/>
      <c r="I92" s="549"/>
      <c r="J92" s="9"/>
      <c r="K92" s="9"/>
      <c r="L92" s="9"/>
    </row>
    <row r="93" spans="1:12" ht="27" customHeight="1">
      <c r="A93" s="114"/>
      <c r="B93" s="115"/>
      <c r="C93" s="591" t="s">
        <v>404</v>
      </c>
      <c r="D93" s="589" t="s">
        <v>405</v>
      </c>
      <c r="E93" s="590"/>
      <c r="F93" s="590"/>
      <c r="G93" s="612" t="s">
        <v>406</v>
      </c>
      <c r="H93" s="613"/>
      <c r="I93" s="116"/>
      <c r="J93" s="9"/>
      <c r="K93" s="9"/>
      <c r="L93" s="9"/>
    </row>
    <row r="94" spans="1:12" ht="31.5" customHeight="1">
      <c r="A94" s="114"/>
      <c r="B94" s="115"/>
      <c r="C94" s="592"/>
      <c r="D94" s="567"/>
      <c r="E94" s="549"/>
      <c r="F94" s="549"/>
      <c r="G94" s="602" t="s">
        <v>409</v>
      </c>
      <c r="H94" s="577"/>
      <c r="I94" s="117"/>
      <c r="J94" s="9"/>
      <c r="K94" s="9"/>
      <c r="L94" s="9"/>
    </row>
    <row r="95" spans="1:12" ht="30.75" customHeight="1">
      <c r="A95" s="114"/>
      <c r="B95" s="118"/>
      <c r="C95" s="592"/>
      <c r="D95" s="567"/>
      <c r="E95" s="549"/>
      <c r="F95" s="549"/>
      <c r="G95" s="602" t="s">
        <v>412</v>
      </c>
      <c r="H95" s="577"/>
      <c r="I95" s="119"/>
      <c r="J95" s="9"/>
      <c r="K95" s="9"/>
      <c r="L95" s="9"/>
    </row>
    <row r="96" spans="1:12" ht="24" customHeight="1">
      <c r="A96" s="120"/>
      <c r="B96" s="121"/>
      <c r="C96" s="122"/>
      <c r="D96" s="123"/>
      <c r="E96" s="123"/>
      <c r="F96" s="124"/>
      <c r="G96" s="124"/>
      <c r="H96" s="125"/>
      <c r="I96" s="123"/>
      <c r="J96" s="9"/>
      <c r="K96" s="9"/>
      <c r="L96" s="9"/>
    </row>
    <row r="97" spans="1:12" ht="33" customHeight="1">
      <c r="A97" s="120"/>
      <c r="B97" s="121"/>
      <c r="C97" s="126"/>
      <c r="D97" s="128"/>
      <c r="E97" s="128"/>
      <c r="F97" s="108"/>
      <c r="G97" s="108"/>
      <c r="H97" s="129"/>
      <c r="I97" s="128"/>
      <c r="J97" s="9"/>
      <c r="K97" s="9"/>
      <c r="L97" s="9"/>
    </row>
    <row r="98" spans="1:12" ht="32.25" customHeight="1">
      <c r="A98" s="120"/>
      <c r="B98" s="121"/>
      <c r="C98" s="126"/>
      <c r="D98" s="128"/>
      <c r="E98" s="128"/>
      <c r="F98" s="108"/>
      <c r="G98" s="108"/>
      <c r="H98" s="129"/>
      <c r="I98" s="128"/>
      <c r="J98" s="9"/>
      <c r="K98" s="9"/>
      <c r="L98" s="9"/>
    </row>
    <row r="99" spans="1:12" ht="24" customHeight="1">
      <c r="A99" s="120"/>
      <c r="B99" s="121"/>
      <c r="C99" s="126"/>
      <c r="D99" s="128"/>
      <c r="E99" s="128"/>
      <c r="F99" s="108"/>
      <c r="G99" s="108"/>
      <c r="H99" s="129"/>
      <c r="I99" s="128"/>
      <c r="J99" s="9"/>
      <c r="K99" s="9"/>
      <c r="L99" s="9"/>
    </row>
    <row r="100" spans="1:12" ht="24" customHeight="1">
      <c r="A100" s="120"/>
      <c r="B100" s="121"/>
      <c r="C100" s="126"/>
      <c r="D100" s="128"/>
      <c r="E100" s="128"/>
      <c r="F100" s="108"/>
      <c r="G100" s="108"/>
      <c r="H100" s="129"/>
      <c r="I100" s="128"/>
      <c r="J100" s="9"/>
      <c r="K100" s="9"/>
      <c r="L100" s="9"/>
    </row>
    <row r="101" spans="1:12" ht="41.25" customHeight="1">
      <c r="A101" s="581"/>
      <c r="B101" s="549"/>
      <c r="C101" s="130"/>
      <c r="D101" s="130"/>
      <c r="E101" s="130"/>
      <c r="F101" s="130"/>
      <c r="G101" s="130"/>
      <c r="H101" s="130"/>
      <c r="I101" s="130"/>
      <c r="J101" s="9"/>
      <c r="K101" s="9"/>
      <c r="L101" s="9"/>
    </row>
    <row r="102" spans="1:12" ht="19.5" customHeight="1">
      <c r="A102" s="131"/>
      <c r="B102" s="131"/>
      <c r="C102" s="131"/>
      <c r="D102" s="131"/>
      <c r="E102" s="131"/>
      <c r="F102" s="107"/>
      <c r="G102" s="107"/>
      <c r="H102" s="131"/>
      <c r="I102" s="131"/>
      <c r="J102" s="9"/>
      <c r="K102" s="9"/>
      <c r="L102" s="9"/>
    </row>
    <row r="103" spans="1:12" ht="19.5" customHeight="1">
      <c r="A103" s="107"/>
      <c r="B103" s="131"/>
      <c r="C103" s="107"/>
      <c r="D103" s="107"/>
      <c r="E103" s="107"/>
      <c r="F103" s="108"/>
      <c r="G103" s="108"/>
      <c r="H103" s="107"/>
      <c r="I103" s="107"/>
      <c r="J103" s="9"/>
      <c r="K103" s="9"/>
      <c r="L103" s="9"/>
    </row>
    <row r="104" spans="1:12" ht="19.5" customHeight="1">
      <c r="A104" s="120"/>
      <c r="B104" s="132"/>
      <c r="C104" s="108"/>
      <c r="D104" s="108"/>
      <c r="E104" s="108"/>
      <c r="F104" s="108"/>
      <c r="G104" s="133"/>
      <c r="H104" s="108"/>
      <c r="I104" s="108"/>
      <c r="J104" s="9"/>
      <c r="K104" s="9"/>
      <c r="L104" s="9"/>
    </row>
    <row r="105" spans="1:12" ht="23.25" customHeight="1">
      <c r="A105" s="120"/>
      <c r="B105" s="121"/>
      <c r="C105" s="126"/>
      <c r="D105" s="128"/>
      <c r="E105" s="128"/>
      <c r="F105" s="108"/>
      <c r="G105" s="108"/>
      <c r="H105" s="611"/>
      <c r="I105" s="128"/>
      <c r="J105" s="9"/>
      <c r="K105" s="9"/>
      <c r="L105" s="9"/>
    </row>
    <row r="106" spans="1:12" ht="31.5" customHeight="1">
      <c r="A106" s="120"/>
      <c r="B106" s="121"/>
      <c r="C106" s="126"/>
      <c r="D106" s="128"/>
      <c r="E106" s="128"/>
      <c r="F106" s="108"/>
      <c r="G106" s="108"/>
      <c r="H106" s="549"/>
      <c r="I106" s="128"/>
      <c r="J106" s="9"/>
      <c r="K106" s="9"/>
      <c r="L106" s="9"/>
    </row>
    <row r="107" spans="1:12" ht="19.5" customHeight="1">
      <c r="A107" s="120"/>
      <c r="B107" s="121"/>
      <c r="C107" s="126"/>
      <c r="D107" s="128"/>
      <c r="E107" s="128"/>
      <c r="F107" s="108"/>
      <c r="G107" s="108"/>
      <c r="H107" s="549"/>
      <c r="I107" s="128"/>
      <c r="J107" s="9"/>
      <c r="K107" s="9"/>
      <c r="L107" s="9"/>
    </row>
    <row r="108" spans="1:12" ht="22.5" customHeight="1">
      <c r="A108" s="120"/>
      <c r="B108" s="121"/>
      <c r="C108" s="126"/>
      <c r="D108" s="128"/>
      <c r="E108" s="128"/>
      <c r="F108" s="108"/>
      <c r="G108" s="108"/>
      <c r="H108" s="549"/>
      <c r="I108" s="128"/>
      <c r="J108" s="9"/>
      <c r="K108" s="9"/>
      <c r="L108" s="9"/>
    </row>
    <row r="109" spans="1:12" ht="29.25" customHeight="1">
      <c r="A109" s="120"/>
      <c r="B109" s="121"/>
      <c r="C109" s="126"/>
      <c r="D109" s="128"/>
      <c r="E109" s="128"/>
      <c r="F109" s="108"/>
      <c r="G109" s="108"/>
      <c r="H109" s="549"/>
      <c r="I109" s="128"/>
      <c r="J109" s="9"/>
      <c r="K109" s="9"/>
      <c r="L109" s="9"/>
    </row>
    <row r="110" spans="1:12" ht="32.25" customHeight="1">
      <c r="A110" s="120"/>
      <c r="B110" s="121"/>
      <c r="C110" s="126"/>
      <c r="D110" s="128"/>
      <c r="E110" s="128"/>
      <c r="F110" s="108"/>
      <c r="G110" s="108"/>
      <c r="H110" s="549"/>
      <c r="I110" s="128"/>
      <c r="J110" s="9"/>
      <c r="K110" s="9"/>
      <c r="L110" s="9"/>
    </row>
    <row r="111" spans="1:12" ht="27" customHeight="1">
      <c r="A111" s="120"/>
      <c r="B111" s="121"/>
      <c r="C111" s="126"/>
      <c r="D111" s="128"/>
      <c r="E111" s="128"/>
      <c r="F111" s="108"/>
      <c r="G111" s="108"/>
      <c r="H111" s="549"/>
      <c r="I111" s="128"/>
      <c r="J111" s="9"/>
      <c r="K111" s="9"/>
      <c r="L111" s="9"/>
    </row>
    <row r="112" spans="1:12" ht="25.5" customHeight="1">
      <c r="A112" s="120"/>
      <c r="B112" s="121"/>
      <c r="C112" s="126"/>
      <c r="D112" s="128"/>
      <c r="E112" s="128"/>
      <c r="F112" s="108"/>
      <c r="G112" s="108"/>
      <c r="H112" s="549"/>
      <c r="I112" s="128"/>
      <c r="J112" s="9"/>
      <c r="K112" s="9"/>
      <c r="L112" s="9"/>
    </row>
    <row r="113" spans="1:12" ht="19.5" customHeight="1">
      <c r="A113" s="131"/>
      <c r="B113" s="131"/>
      <c r="C113" s="131"/>
      <c r="D113" s="131"/>
      <c r="E113" s="131"/>
      <c r="F113" s="107"/>
      <c r="G113" s="107"/>
      <c r="H113" s="131"/>
      <c r="I113" s="131"/>
      <c r="J113" s="9"/>
      <c r="K113" s="9"/>
      <c r="L113" s="9"/>
    </row>
    <row r="114" spans="1:12" ht="19.5" customHeight="1">
      <c r="A114" s="107"/>
      <c r="B114" s="131"/>
      <c r="C114" s="107"/>
      <c r="D114" s="107"/>
      <c r="E114" s="107"/>
      <c r="F114" s="108"/>
      <c r="G114" s="108"/>
      <c r="H114" s="107"/>
      <c r="I114" s="107"/>
      <c r="J114" s="9"/>
      <c r="K114" s="9"/>
      <c r="L114" s="9"/>
    </row>
    <row r="115" spans="1:12" ht="19.5" customHeight="1">
      <c r="A115" s="120"/>
      <c r="B115" s="108"/>
      <c r="C115" s="108"/>
      <c r="D115" s="108"/>
      <c r="E115" s="108"/>
      <c r="F115" s="108"/>
      <c r="G115" s="108"/>
      <c r="H115" s="108"/>
      <c r="I115" s="108"/>
      <c r="J115" s="9"/>
      <c r="K115" s="9"/>
      <c r="L115" s="9"/>
    </row>
    <row r="116" spans="1:12" ht="24.75" customHeight="1">
      <c r="A116" s="120"/>
      <c r="B116" s="134"/>
      <c r="C116" s="126"/>
      <c r="D116" s="128"/>
      <c r="E116" s="128"/>
      <c r="F116" s="108"/>
      <c r="G116" s="108"/>
      <c r="H116" s="128"/>
      <c r="I116" s="128"/>
      <c r="J116" s="9"/>
      <c r="K116" s="9"/>
      <c r="L116" s="9"/>
    </row>
    <row r="117" spans="1:12" ht="24.75" customHeight="1">
      <c r="A117" s="120"/>
      <c r="B117" s="134"/>
      <c r="C117" s="126"/>
      <c r="D117" s="128"/>
      <c r="E117" s="128"/>
      <c r="F117" s="108"/>
      <c r="G117" s="108"/>
      <c r="H117" s="128"/>
      <c r="I117" s="128"/>
      <c r="J117" s="9"/>
      <c r="K117" s="9"/>
      <c r="L117" s="9"/>
    </row>
    <row r="118" spans="1:12" ht="24.75" customHeight="1">
      <c r="A118" s="120"/>
      <c r="B118" s="134"/>
      <c r="C118" s="126"/>
      <c r="D118" s="128"/>
      <c r="E118" s="128"/>
      <c r="F118" s="108"/>
      <c r="G118" s="108"/>
      <c r="H118" s="128"/>
      <c r="I118" s="128"/>
      <c r="J118" s="9"/>
      <c r="K118" s="9"/>
      <c r="L118" s="9"/>
    </row>
    <row r="119" spans="1:12" ht="24.75" customHeight="1">
      <c r="A119" s="120"/>
      <c r="B119" s="134"/>
      <c r="C119" s="126"/>
      <c r="D119" s="128"/>
      <c r="E119" s="128"/>
      <c r="F119" s="108"/>
      <c r="G119" s="108"/>
      <c r="H119" s="128"/>
      <c r="I119" s="128"/>
      <c r="J119" s="9"/>
      <c r="K119" s="9"/>
      <c r="L119" s="9"/>
    </row>
    <row r="120" spans="1:12" ht="42" customHeight="1">
      <c r="A120" s="581"/>
      <c r="B120" s="549"/>
      <c r="C120" s="130"/>
      <c r="D120" s="130"/>
      <c r="E120" s="130"/>
      <c r="F120" s="130"/>
      <c r="G120" s="130"/>
      <c r="H120" s="130"/>
      <c r="I120" s="130"/>
      <c r="J120" s="9"/>
      <c r="K120" s="9"/>
      <c r="L120" s="9"/>
    </row>
    <row r="121" spans="1:12" ht="19.5" customHeight="1">
      <c r="A121" s="131"/>
      <c r="B121" s="131"/>
      <c r="C121" s="131"/>
      <c r="D121" s="131"/>
      <c r="E121" s="131"/>
      <c r="F121" s="107"/>
      <c r="G121" s="107"/>
      <c r="H121" s="131"/>
      <c r="I121" s="131"/>
      <c r="J121" s="9"/>
      <c r="K121" s="9"/>
      <c r="L121" s="9"/>
    </row>
    <row r="122" spans="1:12" ht="19.5" customHeight="1">
      <c r="A122" s="107"/>
      <c r="B122" s="131"/>
      <c r="C122" s="107"/>
      <c r="D122" s="107"/>
      <c r="E122" s="107"/>
      <c r="F122" s="108"/>
      <c r="G122" s="108"/>
      <c r="H122" s="107"/>
      <c r="I122" s="107"/>
      <c r="J122" s="9"/>
      <c r="K122" s="9"/>
      <c r="L122" s="9"/>
    </row>
    <row r="123" spans="1:12" ht="24" customHeight="1">
      <c r="A123" s="120"/>
      <c r="B123" s="108"/>
      <c r="C123" s="108"/>
      <c r="D123" s="108"/>
      <c r="E123" s="108"/>
      <c r="F123" s="108"/>
      <c r="G123" s="108"/>
      <c r="H123" s="108"/>
      <c r="I123" s="108"/>
      <c r="J123" s="9"/>
      <c r="K123" s="9"/>
      <c r="L123" s="9"/>
    </row>
    <row r="124" spans="1:12" ht="24" customHeight="1">
      <c r="A124" s="120"/>
      <c r="B124" s="134"/>
      <c r="C124" s="126"/>
      <c r="D124" s="128"/>
      <c r="E124" s="128"/>
      <c r="F124" s="108"/>
      <c r="G124" s="108"/>
      <c r="H124" s="128"/>
      <c r="I124" s="128"/>
      <c r="J124" s="9"/>
      <c r="K124" s="9"/>
      <c r="L124" s="9"/>
    </row>
    <row r="125" spans="1:12" ht="24" customHeight="1">
      <c r="A125" s="120"/>
      <c r="B125" s="134"/>
      <c r="C125" s="126"/>
      <c r="D125" s="128"/>
      <c r="E125" s="128"/>
      <c r="F125" s="108"/>
      <c r="G125" s="108"/>
      <c r="H125" s="128"/>
      <c r="I125" s="128"/>
      <c r="J125" s="9"/>
      <c r="K125" s="9"/>
      <c r="L125" s="9"/>
    </row>
    <row r="126" spans="1:12" ht="24" customHeight="1">
      <c r="A126" s="120"/>
      <c r="B126" s="134"/>
      <c r="C126" s="126"/>
      <c r="D126" s="128"/>
      <c r="E126" s="128"/>
      <c r="F126" s="108"/>
      <c r="G126" s="108"/>
      <c r="H126" s="128"/>
      <c r="I126" s="128"/>
      <c r="J126" s="9"/>
      <c r="K126" s="9"/>
      <c r="L126" s="9"/>
    </row>
    <row r="127" spans="1:12" ht="24" customHeight="1">
      <c r="A127" s="120"/>
      <c r="B127" s="134"/>
      <c r="C127" s="126"/>
      <c r="D127" s="128"/>
      <c r="E127" s="128"/>
      <c r="F127" s="108"/>
      <c r="G127" s="108"/>
      <c r="H127" s="128"/>
      <c r="I127" s="128"/>
      <c r="J127" s="9"/>
      <c r="K127" s="9"/>
      <c r="L127" s="9"/>
    </row>
    <row r="128" spans="1:12" ht="19.5" customHeight="1">
      <c r="A128" s="580"/>
      <c r="B128" s="549"/>
      <c r="C128" s="131"/>
      <c r="D128" s="131"/>
      <c r="E128" s="131"/>
      <c r="F128" s="107"/>
      <c r="G128" s="107"/>
      <c r="H128" s="131"/>
      <c r="I128" s="131"/>
      <c r="J128" s="9"/>
      <c r="K128" s="9"/>
      <c r="L128" s="9"/>
    </row>
    <row r="129" spans="1:12" ht="19.5" customHeight="1">
      <c r="A129" s="107"/>
      <c r="B129" s="131"/>
      <c r="C129" s="107"/>
      <c r="D129" s="107"/>
      <c r="E129" s="107"/>
      <c r="F129" s="108"/>
      <c r="G129" s="108"/>
      <c r="H129" s="107"/>
      <c r="I129" s="107"/>
      <c r="J129" s="9"/>
      <c r="K129" s="9"/>
      <c r="L129" s="9"/>
    </row>
    <row r="130" spans="1:12" ht="24.75" customHeight="1">
      <c r="A130" s="120"/>
      <c r="B130" s="108"/>
      <c r="C130" s="108"/>
      <c r="D130" s="108"/>
      <c r="E130" s="108"/>
      <c r="F130" s="108"/>
      <c r="G130" s="108"/>
      <c r="H130" s="108"/>
      <c r="I130" s="108"/>
      <c r="J130" s="9"/>
      <c r="K130" s="9"/>
      <c r="L130" s="9"/>
    </row>
    <row r="131" spans="1:12" ht="24.75" customHeight="1">
      <c r="A131" s="120"/>
      <c r="B131" s="134"/>
      <c r="C131" s="135"/>
      <c r="D131" s="128"/>
      <c r="E131" s="128"/>
      <c r="F131" s="108"/>
      <c r="G131" s="108"/>
      <c r="H131" s="128"/>
      <c r="I131" s="128"/>
      <c r="J131" s="9"/>
      <c r="K131" s="9"/>
      <c r="L131" s="9"/>
    </row>
    <row r="132" spans="1:12" ht="24.75" customHeight="1">
      <c r="A132" s="120"/>
      <c r="B132" s="134"/>
      <c r="C132" s="135"/>
      <c r="D132" s="128"/>
      <c r="E132" s="128"/>
      <c r="F132" s="108"/>
      <c r="G132" s="108"/>
      <c r="H132" s="128"/>
      <c r="I132" s="128"/>
      <c r="J132" s="9"/>
      <c r="K132" s="9"/>
      <c r="L132" s="9"/>
    </row>
    <row r="133" spans="1:12" ht="24.75" customHeight="1">
      <c r="A133" s="120"/>
      <c r="B133" s="134"/>
      <c r="C133" s="135"/>
      <c r="D133" s="128"/>
      <c r="E133" s="128"/>
      <c r="F133" s="108"/>
      <c r="G133" s="108"/>
      <c r="H133" s="128"/>
      <c r="I133" s="128"/>
      <c r="J133" s="9"/>
      <c r="K133" s="9"/>
      <c r="L133" s="9"/>
    </row>
    <row r="134" spans="1:12" ht="24.75" customHeight="1">
      <c r="A134" s="120"/>
      <c r="B134" s="134"/>
      <c r="C134" s="135"/>
      <c r="D134" s="128"/>
      <c r="E134" s="128"/>
      <c r="F134" s="108"/>
      <c r="G134" s="108"/>
      <c r="H134" s="128"/>
      <c r="I134" s="128"/>
      <c r="J134" s="9"/>
      <c r="K134" s="9"/>
      <c r="L134" s="9"/>
    </row>
    <row r="135" spans="1:12" ht="19.5" customHeight="1">
      <c r="A135" s="580"/>
      <c r="B135" s="549"/>
      <c r="C135" s="131"/>
      <c r="D135" s="131"/>
      <c r="E135" s="131"/>
      <c r="F135" s="107"/>
      <c r="G135" s="107"/>
      <c r="H135" s="131"/>
      <c r="I135" s="131"/>
      <c r="J135" s="9"/>
      <c r="K135" s="9"/>
      <c r="L135" s="9"/>
    </row>
    <row r="136" spans="1:12" ht="19.5" customHeight="1">
      <c r="A136" s="107"/>
      <c r="B136" s="131"/>
      <c r="C136" s="107"/>
      <c r="D136" s="107"/>
      <c r="E136" s="107"/>
      <c r="F136" s="108"/>
      <c r="G136" s="108"/>
      <c r="H136" s="107"/>
      <c r="I136" s="107"/>
      <c r="J136" s="9"/>
      <c r="K136" s="9"/>
      <c r="L136" s="9"/>
    </row>
    <row r="137" spans="1:12" ht="19.5" customHeight="1">
      <c r="A137" s="120"/>
      <c r="B137" s="132"/>
      <c r="C137" s="108"/>
      <c r="D137" s="108"/>
      <c r="E137" s="108"/>
      <c r="F137" s="108"/>
      <c r="G137" s="133"/>
      <c r="H137" s="108"/>
      <c r="I137" s="108"/>
      <c r="J137" s="9"/>
      <c r="K137" s="9"/>
      <c r="L137" s="9"/>
    </row>
    <row r="138" spans="1:12" ht="38.25" customHeight="1">
      <c r="A138" s="120"/>
      <c r="B138" s="121"/>
      <c r="C138" s="135"/>
      <c r="D138" s="128"/>
      <c r="E138" s="128"/>
      <c r="F138" s="108"/>
      <c r="G138" s="108"/>
      <c r="H138" s="611"/>
      <c r="I138" s="128"/>
      <c r="J138" s="9"/>
      <c r="K138" s="9"/>
      <c r="L138" s="9"/>
    </row>
    <row r="139" spans="1:12" ht="38.25" customHeight="1">
      <c r="A139" s="120"/>
      <c r="B139" s="121"/>
      <c r="C139" s="135"/>
      <c r="D139" s="128"/>
      <c r="E139" s="128"/>
      <c r="F139" s="108"/>
      <c r="G139" s="108"/>
      <c r="H139" s="549"/>
      <c r="I139" s="128"/>
      <c r="J139" s="9"/>
      <c r="K139" s="9"/>
      <c r="L139" s="9"/>
    </row>
    <row r="140" spans="1:12" ht="33.75" customHeight="1">
      <c r="A140" s="120"/>
      <c r="B140" s="121"/>
      <c r="C140" s="135"/>
      <c r="D140" s="128"/>
      <c r="E140" s="128"/>
      <c r="F140" s="108"/>
      <c r="G140" s="108"/>
      <c r="H140" s="549"/>
      <c r="I140" s="128"/>
      <c r="J140" s="9"/>
      <c r="K140" s="9"/>
      <c r="L140" s="9"/>
    </row>
    <row r="141" spans="1:12" ht="38.25" customHeight="1">
      <c r="A141" s="120"/>
      <c r="B141" s="121"/>
      <c r="C141" s="135"/>
      <c r="D141" s="128"/>
      <c r="E141" s="128"/>
      <c r="F141" s="108"/>
      <c r="G141" s="108"/>
      <c r="H141" s="549"/>
      <c r="I141" s="128"/>
      <c r="J141" s="9"/>
      <c r="K141" s="9"/>
      <c r="L141" s="9"/>
    </row>
    <row r="142" spans="1:12" ht="35.25" customHeight="1">
      <c r="A142" s="120"/>
      <c r="B142" s="121"/>
      <c r="C142" s="135"/>
      <c r="D142" s="128"/>
      <c r="E142" s="128"/>
      <c r="F142" s="108"/>
      <c r="G142" s="108"/>
      <c r="H142" s="549"/>
      <c r="I142" s="128"/>
      <c r="J142" s="9"/>
      <c r="K142" s="9"/>
      <c r="L142" s="9"/>
    </row>
    <row r="143" spans="1:12" ht="31.5" customHeight="1">
      <c r="A143" s="120"/>
      <c r="B143" s="121"/>
      <c r="C143" s="135"/>
      <c r="D143" s="128"/>
      <c r="E143" s="128"/>
      <c r="F143" s="108"/>
      <c r="G143" s="108"/>
      <c r="H143" s="549"/>
      <c r="I143" s="128"/>
      <c r="J143" s="9"/>
      <c r="K143" s="9"/>
      <c r="L143" s="9"/>
    </row>
    <row r="144" spans="1:12" ht="30.75" customHeight="1">
      <c r="A144" s="120"/>
      <c r="B144" s="121"/>
      <c r="C144" s="135"/>
      <c r="D144" s="128"/>
      <c r="E144" s="128"/>
      <c r="F144" s="108"/>
      <c r="G144" s="108"/>
      <c r="H144" s="549"/>
      <c r="I144" s="128"/>
      <c r="J144" s="9"/>
      <c r="K144" s="9"/>
      <c r="L144" s="9"/>
    </row>
    <row r="145" spans="1:12" ht="38.25" customHeight="1">
      <c r="A145" s="120"/>
      <c r="B145" s="132"/>
      <c r="C145" s="108"/>
      <c r="D145" s="108"/>
      <c r="E145" s="108"/>
      <c r="F145" s="108"/>
      <c r="G145" s="133"/>
      <c r="H145" s="108"/>
      <c r="I145" s="108"/>
      <c r="J145" s="9"/>
      <c r="K145" s="9"/>
      <c r="L145" s="9"/>
    </row>
    <row r="146" spans="1:12" ht="38.25" customHeight="1">
      <c r="A146" s="120"/>
      <c r="B146" s="121"/>
      <c r="C146" s="135"/>
      <c r="D146" s="128"/>
      <c r="E146" s="128"/>
      <c r="F146" s="108"/>
      <c r="G146" s="108"/>
      <c r="H146" s="611"/>
      <c r="I146" s="128"/>
      <c r="J146" s="9"/>
      <c r="K146" s="9"/>
      <c r="L146" s="9"/>
    </row>
    <row r="147" spans="1:12" ht="38.25" customHeight="1">
      <c r="A147" s="120"/>
      <c r="B147" s="121"/>
      <c r="C147" s="135"/>
      <c r="D147" s="128"/>
      <c r="E147" s="128"/>
      <c r="F147" s="108"/>
      <c r="G147" s="108"/>
      <c r="H147" s="549"/>
      <c r="I147" s="128"/>
      <c r="J147" s="9"/>
      <c r="K147" s="9"/>
      <c r="L147" s="9"/>
    </row>
    <row r="148" spans="1:12" ht="38.25" customHeight="1">
      <c r="A148" s="120"/>
      <c r="B148" s="121"/>
      <c r="C148" s="135"/>
      <c r="D148" s="128"/>
      <c r="E148" s="128"/>
      <c r="F148" s="108"/>
      <c r="G148" s="108"/>
      <c r="H148" s="549"/>
      <c r="I148" s="128"/>
      <c r="J148" s="9"/>
      <c r="K148" s="9"/>
      <c r="L148" s="9"/>
    </row>
    <row r="149" spans="1:12" ht="32.25" customHeight="1">
      <c r="A149" s="120"/>
      <c r="B149" s="121"/>
      <c r="C149" s="135"/>
      <c r="D149" s="128"/>
      <c r="E149" s="128"/>
      <c r="F149" s="108"/>
      <c r="G149" s="108"/>
      <c r="H149" s="549"/>
      <c r="I149" s="128"/>
      <c r="J149" s="9"/>
      <c r="K149" s="9"/>
      <c r="L149" s="9"/>
    </row>
    <row r="150" spans="1:12" ht="32.25" customHeight="1">
      <c r="A150" s="120"/>
      <c r="B150" s="121"/>
      <c r="C150" s="135"/>
      <c r="D150" s="128"/>
      <c r="E150" s="128"/>
      <c r="F150" s="108"/>
      <c r="G150" s="108"/>
      <c r="H150" s="549"/>
      <c r="I150" s="128"/>
      <c r="J150" s="9"/>
      <c r="K150" s="9"/>
      <c r="L150" s="9"/>
    </row>
    <row r="151" spans="1:12" ht="38.25" customHeight="1">
      <c r="A151" s="120"/>
      <c r="B151" s="132"/>
      <c r="C151" s="108"/>
      <c r="D151" s="108"/>
      <c r="E151" s="108"/>
      <c r="F151" s="108"/>
      <c r="G151" s="133"/>
      <c r="H151" s="108"/>
      <c r="I151" s="108"/>
      <c r="J151" s="9"/>
      <c r="K151" s="9"/>
      <c r="L151" s="9"/>
    </row>
    <row r="152" spans="1:12" ht="59.25" customHeight="1">
      <c r="A152" s="120"/>
      <c r="B152" s="121"/>
      <c r="C152" s="135"/>
      <c r="D152" s="128"/>
      <c r="E152" s="128"/>
      <c r="F152" s="108"/>
      <c r="G152" s="108"/>
      <c r="H152" s="611"/>
      <c r="I152" s="128"/>
      <c r="J152" s="9"/>
      <c r="K152" s="9"/>
      <c r="L152" s="9"/>
    </row>
    <row r="153" spans="1:12" ht="38.25" customHeight="1">
      <c r="A153" s="120"/>
      <c r="B153" s="121"/>
      <c r="C153" s="135"/>
      <c r="D153" s="128"/>
      <c r="E153" s="128"/>
      <c r="F153" s="108"/>
      <c r="G153" s="108"/>
      <c r="H153" s="549"/>
      <c r="I153" s="128"/>
      <c r="J153" s="9"/>
      <c r="K153" s="9"/>
      <c r="L153" s="9"/>
    </row>
    <row r="154" spans="1:12" ht="38.25" customHeight="1">
      <c r="A154" s="120"/>
      <c r="B154" s="121"/>
      <c r="C154" s="135"/>
      <c r="D154" s="128"/>
      <c r="E154" s="128"/>
      <c r="F154" s="108"/>
      <c r="G154" s="108"/>
      <c r="H154" s="549"/>
      <c r="I154" s="128"/>
      <c r="J154" s="9"/>
      <c r="K154" s="9"/>
      <c r="L154" s="9"/>
    </row>
    <row r="155" spans="1:12" ht="48" customHeight="1">
      <c r="A155" s="120"/>
      <c r="B155" s="121"/>
      <c r="C155" s="135"/>
      <c r="D155" s="128"/>
      <c r="E155" s="128"/>
      <c r="F155" s="108"/>
      <c r="G155" s="108"/>
      <c r="H155" s="549"/>
      <c r="I155" s="128"/>
      <c r="J155" s="9"/>
      <c r="K155" s="9"/>
      <c r="L155" s="9"/>
    </row>
    <row r="156" spans="1:12" ht="38.25" customHeight="1">
      <c r="A156" s="120"/>
      <c r="B156" s="121"/>
      <c r="C156" s="135"/>
      <c r="D156" s="128"/>
      <c r="E156" s="128"/>
      <c r="F156" s="108"/>
      <c r="G156" s="108"/>
      <c r="H156" s="549"/>
      <c r="I156" s="128"/>
      <c r="J156" s="9"/>
      <c r="K156" s="9"/>
      <c r="L156" s="9"/>
    </row>
    <row r="157" spans="1:12" ht="38.25" customHeight="1">
      <c r="A157" s="120"/>
      <c r="B157" s="121"/>
      <c r="C157" s="135"/>
      <c r="D157" s="128"/>
      <c r="E157" s="128"/>
      <c r="F157" s="108"/>
      <c r="G157" s="108"/>
      <c r="H157" s="549"/>
      <c r="I157" s="128"/>
      <c r="J157" s="9"/>
      <c r="K157" s="9"/>
      <c r="L157" s="9"/>
    </row>
    <row r="158" spans="1:12" ht="38.25" customHeight="1">
      <c r="A158" s="120"/>
      <c r="B158" s="132"/>
      <c r="C158" s="108"/>
      <c r="D158" s="108"/>
      <c r="E158" s="108"/>
      <c r="F158" s="108"/>
      <c r="G158" s="133"/>
      <c r="H158" s="108"/>
      <c r="I158" s="108"/>
      <c r="J158" s="9"/>
      <c r="K158" s="9"/>
      <c r="L158" s="9"/>
    </row>
    <row r="159" spans="1:12" ht="38.25" customHeight="1">
      <c r="A159" s="120"/>
      <c r="B159" s="121"/>
      <c r="C159" s="135"/>
      <c r="D159" s="128"/>
      <c r="E159" s="128"/>
      <c r="F159" s="108"/>
      <c r="G159" s="108"/>
      <c r="H159" s="611"/>
      <c r="I159" s="128"/>
      <c r="J159" s="9"/>
      <c r="K159" s="9"/>
      <c r="L159" s="9"/>
    </row>
    <row r="160" spans="1:12" ht="30" customHeight="1">
      <c r="A160" s="120"/>
      <c r="B160" s="121"/>
      <c r="C160" s="135"/>
      <c r="D160" s="128"/>
      <c r="E160" s="128"/>
      <c r="F160" s="108"/>
      <c r="G160" s="108"/>
      <c r="H160" s="549"/>
      <c r="I160" s="128"/>
      <c r="J160" s="9"/>
      <c r="K160" s="9"/>
      <c r="L160" s="9"/>
    </row>
    <row r="161" spans="1:12" ht="38.25" customHeight="1">
      <c r="A161" s="120"/>
      <c r="B161" s="121"/>
      <c r="C161" s="135"/>
      <c r="D161" s="128"/>
      <c r="E161" s="128"/>
      <c r="F161" s="108"/>
      <c r="G161" s="108"/>
      <c r="H161" s="549"/>
      <c r="I161" s="128"/>
      <c r="J161" s="9"/>
      <c r="K161" s="9"/>
      <c r="L161" s="9"/>
    </row>
    <row r="162" spans="1:12" ht="32.25" customHeight="1">
      <c r="A162" s="120"/>
      <c r="B162" s="121"/>
      <c r="C162" s="135"/>
      <c r="D162" s="128"/>
      <c r="E162" s="128"/>
      <c r="F162" s="108"/>
      <c r="G162" s="108"/>
      <c r="H162" s="549"/>
      <c r="I162" s="128"/>
      <c r="J162" s="9"/>
      <c r="K162" s="9"/>
      <c r="L162" s="9"/>
    </row>
    <row r="163" spans="1:12" ht="30" customHeight="1">
      <c r="A163" s="120"/>
      <c r="B163" s="121"/>
      <c r="C163" s="135"/>
      <c r="D163" s="128"/>
      <c r="E163" s="128"/>
      <c r="F163" s="108"/>
      <c r="G163" s="108"/>
      <c r="H163" s="549"/>
      <c r="I163" s="128"/>
      <c r="J163" s="9"/>
      <c r="K163" s="9"/>
      <c r="L163" s="9"/>
    </row>
    <row r="164" spans="1:12" ht="31.5" customHeight="1">
      <c r="A164" s="120"/>
      <c r="B164" s="121"/>
      <c r="C164" s="135"/>
      <c r="D164" s="128"/>
      <c r="E164" s="128"/>
      <c r="F164" s="108"/>
      <c r="G164" s="108"/>
      <c r="H164" s="549"/>
      <c r="I164" s="128"/>
      <c r="J164" s="9"/>
      <c r="K164" s="9"/>
      <c r="L164" s="9"/>
    </row>
    <row r="165" spans="1:12" ht="19.5" customHeight="1">
      <c r="A165" s="580"/>
      <c r="B165" s="549"/>
      <c r="C165" s="131"/>
      <c r="D165" s="131"/>
      <c r="E165" s="131"/>
      <c r="F165" s="107"/>
      <c r="G165" s="107"/>
      <c r="H165" s="131"/>
      <c r="I165" s="131"/>
      <c r="J165" s="9"/>
      <c r="K165" s="9"/>
      <c r="L165" s="9"/>
    </row>
    <row r="166" spans="1:12" ht="19.5" customHeight="1">
      <c r="A166" s="107"/>
      <c r="B166" s="131"/>
      <c r="C166" s="107"/>
      <c r="D166" s="107"/>
      <c r="E166" s="107"/>
      <c r="F166" s="108"/>
      <c r="G166" s="108"/>
      <c r="H166" s="107"/>
      <c r="I166" s="107"/>
      <c r="J166" s="9"/>
      <c r="K166" s="9"/>
      <c r="L166" s="9"/>
    </row>
    <row r="167" spans="1:12" ht="28.5" customHeight="1">
      <c r="A167" s="120"/>
      <c r="B167" s="132"/>
      <c r="C167" s="108"/>
      <c r="D167" s="108"/>
      <c r="E167" s="108"/>
      <c r="F167" s="108"/>
      <c r="G167" s="133"/>
      <c r="H167" s="108"/>
      <c r="I167" s="108"/>
      <c r="J167" s="9"/>
      <c r="K167" s="9"/>
      <c r="L167" s="9"/>
    </row>
    <row r="168" spans="1:12" ht="19.5" customHeight="1">
      <c r="A168" s="120"/>
      <c r="B168" s="134"/>
      <c r="C168" s="135"/>
      <c r="D168" s="128"/>
      <c r="E168" s="128"/>
      <c r="F168" s="108"/>
      <c r="G168" s="108"/>
      <c r="H168" s="128"/>
      <c r="I168" s="128"/>
      <c r="J168" s="9"/>
      <c r="K168" s="9"/>
      <c r="L168" s="9"/>
    </row>
    <row r="169" spans="1:12" ht="19.5" customHeight="1">
      <c r="A169" s="120"/>
      <c r="B169" s="134"/>
      <c r="C169" s="135"/>
      <c r="D169" s="128"/>
      <c r="E169" s="128"/>
      <c r="F169" s="108"/>
      <c r="G169" s="108"/>
      <c r="H169" s="128"/>
      <c r="I169" s="128"/>
      <c r="J169" s="9"/>
      <c r="K169" s="9"/>
      <c r="L169" s="9"/>
    </row>
    <row r="170" spans="1:12" ht="19.5" customHeight="1">
      <c r="A170" s="120"/>
      <c r="B170" s="136"/>
      <c r="C170" s="135"/>
      <c r="D170" s="128"/>
      <c r="E170" s="128"/>
      <c r="F170" s="108"/>
      <c r="G170" s="108"/>
      <c r="H170" s="128"/>
      <c r="I170" s="128"/>
      <c r="J170" s="9"/>
      <c r="K170" s="9"/>
      <c r="L170" s="9"/>
    </row>
    <row r="171" spans="1:12" ht="19.5" customHeight="1">
      <c r="A171" s="120"/>
      <c r="B171" s="134"/>
      <c r="C171" s="135"/>
      <c r="D171" s="128"/>
      <c r="E171" s="128"/>
      <c r="F171" s="108"/>
      <c r="G171" s="108"/>
      <c r="H171" s="128"/>
      <c r="I171" s="128"/>
      <c r="J171" s="9"/>
      <c r="K171" s="9"/>
      <c r="L171" s="9"/>
    </row>
    <row r="172" spans="1:12" ht="19.5" customHeight="1">
      <c r="A172" s="120"/>
      <c r="B172" s="134"/>
      <c r="C172" s="135"/>
      <c r="D172" s="128"/>
      <c r="E172" s="128"/>
      <c r="F172" s="108"/>
      <c r="G172" s="108"/>
      <c r="H172" s="128"/>
      <c r="I172" s="128"/>
      <c r="J172" s="9"/>
      <c r="K172" s="9"/>
      <c r="L172" s="9"/>
    </row>
    <row r="173" spans="1:12" ht="19.5" customHeight="1">
      <c r="A173" s="120"/>
      <c r="B173" s="136"/>
      <c r="C173" s="135"/>
      <c r="D173" s="128"/>
      <c r="E173" s="128"/>
      <c r="F173" s="108"/>
      <c r="G173" s="108"/>
      <c r="H173" s="128"/>
      <c r="I173" s="128"/>
      <c r="J173" s="9"/>
      <c r="K173" s="9"/>
      <c r="L173" s="9"/>
    </row>
    <row r="174" spans="1:12" ht="19.5" customHeight="1">
      <c r="A174" s="120"/>
      <c r="B174" s="134"/>
      <c r="C174" s="135"/>
      <c r="D174" s="128"/>
      <c r="E174" s="128"/>
      <c r="F174" s="108"/>
      <c r="G174" s="108"/>
      <c r="H174" s="128"/>
      <c r="I174" s="128"/>
      <c r="J174" s="9"/>
      <c r="K174" s="9"/>
      <c r="L174" s="9"/>
    </row>
    <row r="175" spans="1:12" ht="19.5" customHeight="1">
      <c r="A175" s="120"/>
      <c r="B175" s="134"/>
      <c r="C175" s="135"/>
      <c r="D175" s="128"/>
      <c r="E175" s="128"/>
      <c r="F175" s="108"/>
      <c r="G175" s="108"/>
      <c r="H175" s="128"/>
      <c r="I175" s="128"/>
      <c r="J175" s="9"/>
      <c r="K175" s="9"/>
      <c r="L175" s="9"/>
    </row>
    <row r="176" spans="1:12" ht="19.5" customHeight="1">
      <c r="A176" s="120"/>
      <c r="B176" s="136"/>
      <c r="C176" s="135"/>
      <c r="D176" s="128"/>
      <c r="E176" s="128"/>
      <c r="F176" s="108"/>
      <c r="G176" s="108"/>
      <c r="H176" s="128"/>
      <c r="I176" s="128"/>
      <c r="J176" s="9"/>
      <c r="K176" s="9"/>
      <c r="L176" s="9"/>
    </row>
    <row r="177" spans="1:12" ht="19.5" customHeight="1">
      <c r="A177" s="120"/>
      <c r="B177" s="134"/>
      <c r="C177" s="135"/>
      <c r="D177" s="128"/>
      <c r="E177" s="128"/>
      <c r="F177" s="108"/>
      <c r="G177" s="108"/>
      <c r="H177" s="128"/>
      <c r="I177" s="128"/>
      <c r="J177" s="9"/>
      <c r="K177" s="9"/>
      <c r="L177" s="9"/>
    </row>
    <row r="178" spans="1:12" ht="19.5" customHeight="1">
      <c r="A178" s="120"/>
      <c r="B178" s="134"/>
      <c r="C178" s="135"/>
      <c r="D178" s="128"/>
      <c r="E178" s="128"/>
      <c r="F178" s="108"/>
      <c r="G178" s="108"/>
      <c r="H178" s="128"/>
      <c r="I178" s="128"/>
      <c r="J178" s="9"/>
      <c r="K178" s="9"/>
      <c r="L178" s="9"/>
    </row>
    <row r="179" spans="1:12" ht="42" customHeight="1">
      <c r="A179" s="581"/>
      <c r="B179" s="549"/>
      <c r="C179" s="130"/>
      <c r="D179" s="130"/>
      <c r="E179" s="130"/>
      <c r="F179" s="130"/>
      <c r="G179" s="130"/>
      <c r="H179" s="130"/>
      <c r="I179" s="130"/>
      <c r="J179" s="9"/>
      <c r="K179" s="9"/>
      <c r="L179" s="9"/>
    </row>
    <row r="180" spans="1:12" ht="19.5" customHeight="1">
      <c r="A180" s="131"/>
      <c r="B180" s="131"/>
      <c r="C180" s="131"/>
      <c r="D180" s="131"/>
      <c r="E180" s="131"/>
      <c r="F180" s="107"/>
      <c r="G180" s="107"/>
      <c r="H180" s="131"/>
      <c r="I180" s="131"/>
      <c r="J180" s="9"/>
      <c r="K180" s="9"/>
      <c r="L180" s="9"/>
    </row>
    <row r="181" spans="1:12" ht="19.5" customHeight="1">
      <c r="A181" s="107"/>
      <c r="B181" s="131"/>
      <c r="C181" s="107"/>
      <c r="D181" s="107"/>
      <c r="E181" s="107"/>
      <c r="F181" s="108"/>
      <c r="G181" s="108"/>
      <c r="H181" s="107"/>
      <c r="I181" s="107"/>
      <c r="J181" s="9"/>
      <c r="K181" s="9"/>
      <c r="L181" s="9"/>
    </row>
    <row r="182" spans="1:12" ht="29.25" customHeight="1">
      <c r="A182" s="120"/>
      <c r="B182" s="132"/>
      <c r="C182" s="108"/>
      <c r="D182" s="108"/>
      <c r="E182" s="108"/>
      <c r="F182" s="108"/>
      <c r="G182" s="133"/>
      <c r="H182" s="108"/>
      <c r="I182" s="108"/>
      <c r="J182" s="9"/>
      <c r="K182" s="9"/>
      <c r="L182" s="9"/>
    </row>
    <row r="183" spans="1:12" ht="57.75" customHeight="1">
      <c r="A183" s="120"/>
      <c r="B183" s="121"/>
      <c r="C183" s="135"/>
      <c r="D183" s="137"/>
      <c r="E183" s="128"/>
      <c r="F183" s="108"/>
      <c r="G183" s="108"/>
      <c r="H183" s="611"/>
      <c r="I183" s="128"/>
      <c r="J183" s="9"/>
      <c r="K183" s="9"/>
      <c r="L183" s="9"/>
    </row>
    <row r="184" spans="1:12" ht="42" customHeight="1">
      <c r="A184" s="120"/>
      <c r="B184" s="121"/>
      <c r="C184" s="135"/>
      <c r="D184" s="137"/>
      <c r="E184" s="128"/>
      <c r="F184" s="108"/>
      <c r="G184" s="108"/>
      <c r="H184" s="549"/>
      <c r="I184" s="128"/>
      <c r="J184" s="9"/>
      <c r="K184" s="9"/>
      <c r="L184" s="9"/>
    </row>
    <row r="185" spans="1:12" ht="30.75" customHeight="1">
      <c r="A185" s="120"/>
      <c r="B185" s="121"/>
      <c r="C185" s="135"/>
      <c r="D185" s="137"/>
      <c r="E185" s="128"/>
      <c r="F185" s="108"/>
      <c r="G185" s="108"/>
      <c r="H185" s="549"/>
      <c r="I185" s="128"/>
      <c r="J185" s="9"/>
      <c r="K185" s="9"/>
      <c r="L185" s="9"/>
    </row>
    <row r="186" spans="1:12" ht="30" customHeight="1">
      <c r="A186" s="120"/>
      <c r="B186" s="121"/>
      <c r="C186" s="135"/>
      <c r="D186" s="137"/>
      <c r="E186" s="128"/>
      <c r="F186" s="108"/>
      <c r="G186" s="108"/>
      <c r="H186" s="549"/>
      <c r="I186" s="128"/>
      <c r="J186" s="9"/>
      <c r="K186" s="9"/>
      <c r="L186" s="9"/>
    </row>
    <row r="187" spans="1:12" ht="19.5" customHeight="1">
      <c r="A187" s="131"/>
      <c r="B187" s="131"/>
      <c r="C187" s="131"/>
      <c r="D187" s="131"/>
      <c r="E187" s="131"/>
      <c r="F187" s="107"/>
      <c r="G187" s="107"/>
      <c r="H187" s="131"/>
      <c r="I187" s="131"/>
      <c r="J187" s="9"/>
      <c r="K187" s="9"/>
      <c r="L187" s="9"/>
    </row>
    <row r="188" spans="1:12" ht="19.5" customHeight="1">
      <c r="A188" s="107"/>
      <c r="B188" s="131"/>
      <c r="C188" s="107"/>
      <c r="D188" s="107"/>
      <c r="E188" s="107"/>
      <c r="F188" s="108"/>
      <c r="G188" s="108"/>
      <c r="H188" s="107"/>
      <c r="I188" s="107"/>
      <c r="J188" s="9"/>
      <c r="K188" s="9"/>
      <c r="L188" s="9"/>
    </row>
    <row r="189" spans="1:12" ht="21" customHeight="1">
      <c r="A189" s="120"/>
      <c r="B189" s="138"/>
      <c r="C189" s="108"/>
      <c r="D189" s="108"/>
      <c r="E189" s="108"/>
      <c r="F189" s="108"/>
      <c r="G189" s="133"/>
      <c r="H189" s="108"/>
      <c r="I189" s="108"/>
      <c r="J189" s="9"/>
      <c r="K189" s="9"/>
      <c r="L189" s="9"/>
    </row>
    <row r="190" spans="1:12" ht="31.5" customHeight="1">
      <c r="A190" s="120"/>
      <c r="B190" s="121"/>
      <c r="C190" s="135"/>
      <c r="D190" s="128"/>
      <c r="E190" s="128"/>
      <c r="F190" s="108"/>
      <c r="G190" s="108"/>
      <c r="H190" s="611"/>
      <c r="I190" s="128"/>
      <c r="J190" s="9"/>
      <c r="K190" s="9"/>
      <c r="L190" s="9"/>
    </row>
    <row r="191" spans="1:12" ht="30" customHeight="1">
      <c r="A191" s="120"/>
      <c r="B191" s="121"/>
      <c r="C191" s="135"/>
      <c r="D191" s="128"/>
      <c r="E191" s="128"/>
      <c r="F191" s="108"/>
      <c r="G191" s="108"/>
      <c r="H191" s="549"/>
      <c r="I191" s="128"/>
      <c r="J191" s="9"/>
      <c r="K191" s="9"/>
      <c r="L191" s="9"/>
    </row>
  </sheetData>
  <mergeCells count="182">
    <mergeCell ref="D45:F45"/>
    <mergeCell ref="D39:F42"/>
    <mergeCell ref="D46:F47"/>
    <mergeCell ref="C46:C47"/>
    <mergeCell ref="C39:C42"/>
    <mergeCell ref="D35:F38"/>
    <mergeCell ref="G35:H35"/>
    <mergeCell ref="G37:H37"/>
    <mergeCell ref="G38:H38"/>
    <mergeCell ref="G39:H39"/>
    <mergeCell ref="G40:H40"/>
    <mergeCell ref="G46:H46"/>
    <mergeCell ref="G44:H44"/>
    <mergeCell ref="G30:H30"/>
    <mergeCell ref="G29:H29"/>
    <mergeCell ref="G42:H42"/>
    <mergeCell ref="G43:H43"/>
    <mergeCell ref="C31:C34"/>
    <mergeCell ref="C29:C30"/>
    <mergeCell ref="D31:F34"/>
    <mergeCell ref="C35:C38"/>
    <mergeCell ref="G41:H41"/>
    <mergeCell ref="C43:C44"/>
    <mergeCell ref="D43:F44"/>
    <mergeCell ref="H138:H144"/>
    <mergeCell ref="G24:H24"/>
    <mergeCell ref="G23:H23"/>
    <mergeCell ref="G28:H28"/>
    <mergeCell ref="G27:H27"/>
    <mergeCell ref="G61:H61"/>
    <mergeCell ref="G60:H60"/>
    <mergeCell ref="G62:H62"/>
    <mergeCell ref="G69:H69"/>
    <mergeCell ref="G66:H66"/>
    <mergeCell ref="G67:H67"/>
    <mergeCell ref="G68:H68"/>
    <mergeCell ref="G70:H70"/>
    <mergeCell ref="G71:H71"/>
    <mergeCell ref="G25:H25"/>
    <mergeCell ref="G26:H26"/>
    <mergeCell ref="G33:H33"/>
    <mergeCell ref="G34:H34"/>
    <mergeCell ref="G32:H32"/>
    <mergeCell ref="G36:H36"/>
    <mergeCell ref="G58:H58"/>
    <mergeCell ref="G47:H47"/>
    <mergeCell ref="G49:H49"/>
    <mergeCell ref="G52:H52"/>
    <mergeCell ref="H159:H164"/>
    <mergeCell ref="H183:H186"/>
    <mergeCell ref="H190:H191"/>
    <mergeCell ref="H105:H112"/>
    <mergeCell ref="G72:H72"/>
    <mergeCell ref="G74:H74"/>
    <mergeCell ref="G75:H75"/>
    <mergeCell ref="G77:H77"/>
    <mergeCell ref="G76:H76"/>
    <mergeCell ref="G73:H73"/>
    <mergeCell ref="G78:H78"/>
    <mergeCell ref="G79:H79"/>
    <mergeCell ref="G85:H85"/>
    <mergeCell ref="G84:H84"/>
    <mergeCell ref="G95:H95"/>
    <mergeCell ref="G94:H94"/>
    <mergeCell ref="G83:H83"/>
    <mergeCell ref="G82:H82"/>
    <mergeCell ref="G93:H93"/>
    <mergeCell ref="G86:H86"/>
    <mergeCell ref="G81:H81"/>
    <mergeCell ref="G80:H80"/>
    <mergeCell ref="H152:H157"/>
    <mergeCell ref="H146:H150"/>
    <mergeCell ref="D5:F7"/>
    <mergeCell ref="C4:F4"/>
    <mergeCell ref="A2:E2"/>
    <mergeCell ref="A3:I3"/>
    <mergeCell ref="A1:I1"/>
    <mergeCell ref="F2:I2"/>
    <mergeCell ref="C8:C11"/>
    <mergeCell ref="B8:B11"/>
    <mergeCell ref="A8:A11"/>
    <mergeCell ref="B5:B7"/>
    <mergeCell ref="G9:H9"/>
    <mergeCell ref="G11:H11"/>
    <mergeCell ref="G10:H10"/>
    <mergeCell ref="D8:F11"/>
    <mergeCell ref="A5:A7"/>
    <mergeCell ref="A4:B4"/>
    <mergeCell ref="C5:C7"/>
    <mergeCell ref="G8:H8"/>
    <mergeCell ref="G5:H5"/>
    <mergeCell ref="G6:H6"/>
    <mergeCell ref="G4:H4"/>
    <mergeCell ref="G7:H7"/>
    <mergeCell ref="A31:A49"/>
    <mergeCell ref="B31:B49"/>
    <mergeCell ref="G54:H54"/>
    <mergeCell ref="C14:C16"/>
    <mergeCell ref="C12:C13"/>
    <mergeCell ref="G51:H51"/>
    <mergeCell ref="G50:H50"/>
    <mergeCell ref="C50:C51"/>
    <mergeCell ref="C48:C49"/>
    <mergeCell ref="C52:C55"/>
    <mergeCell ref="D48:F49"/>
    <mergeCell ref="G48:H48"/>
    <mergeCell ref="B12:B24"/>
    <mergeCell ref="B25:B30"/>
    <mergeCell ref="C23:C24"/>
    <mergeCell ref="C25:C28"/>
    <mergeCell ref="C19:C22"/>
    <mergeCell ref="C17:C18"/>
    <mergeCell ref="A12:A24"/>
    <mergeCell ref="A25:A30"/>
    <mergeCell ref="G31:H31"/>
    <mergeCell ref="G22:H22"/>
    <mergeCell ref="G21:H21"/>
    <mergeCell ref="G53:H53"/>
    <mergeCell ref="G65:H65"/>
    <mergeCell ref="G63:H63"/>
    <mergeCell ref="G64:H64"/>
    <mergeCell ref="G55:H55"/>
    <mergeCell ref="D25:F28"/>
    <mergeCell ref="D19:F22"/>
    <mergeCell ref="D17:F18"/>
    <mergeCell ref="D12:F13"/>
    <mergeCell ref="D14:F16"/>
    <mergeCell ref="D23:F24"/>
    <mergeCell ref="G59:H59"/>
    <mergeCell ref="G45:H45"/>
    <mergeCell ref="G56:H56"/>
    <mergeCell ref="G57:H57"/>
    <mergeCell ref="G18:H18"/>
    <mergeCell ref="G15:H15"/>
    <mergeCell ref="G16:H16"/>
    <mergeCell ref="G17:H17"/>
    <mergeCell ref="G14:H14"/>
    <mergeCell ref="G13:H13"/>
    <mergeCell ref="G12:H12"/>
    <mergeCell ref="G20:H20"/>
    <mergeCell ref="G19:H19"/>
    <mergeCell ref="D29:F30"/>
    <mergeCell ref="A66:A79"/>
    <mergeCell ref="D80:F83"/>
    <mergeCell ref="D84:F85"/>
    <mergeCell ref="D86:F86"/>
    <mergeCell ref="D73:F75"/>
    <mergeCell ref="D76:F79"/>
    <mergeCell ref="B80:B85"/>
    <mergeCell ref="A80:A85"/>
    <mergeCell ref="C56:C58"/>
    <mergeCell ref="D56:F58"/>
    <mergeCell ref="D59:F62"/>
    <mergeCell ref="C59:C62"/>
    <mergeCell ref="B50:B65"/>
    <mergeCell ref="A50:A65"/>
    <mergeCell ref="D63:F65"/>
    <mergeCell ref="C63:C65"/>
    <mergeCell ref="A128:B128"/>
    <mergeCell ref="A120:B120"/>
    <mergeCell ref="A101:B101"/>
    <mergeCell ref="A86:B86"/>
    <mergeCell ref="A135:B135"/>
    <mergeCell ref="A165:B165"/>
    <mergeCell ref="A179:B179"/>
    <mergeCell ref="D50:F51"/>
    <mergeCell ref="D52:F55"/>
    <mergeCell ref="D93:F95"/>
    <mergeCell ref="C93:C95"/>
    <mergeCell ref="A92:I92"/>
    <mergeCell ref="A91:I91"/>
    <mergeCell ref="A89:I89"/>
    <mergeCell ref="A90:I90"/>
    <mergeCell ref="D70:F72"/>
    <mergeCell ref="D66:F69"/>
    <mergeCell ref="C70:C72"/>
    <mergeCell ref="C66:C69"/>
    <mergeCell ref="C80:C83"/>
    <mergeCell ref="C84:C85"/>
    <mergeCell ref="B66:B79"/>
    <mergeCell ref="C76:C79"/>
    <mergeCell ref="C73:C75"/>
  </mergeCells>
  <conditionalFormatting sqref="I5:I85">
    <cfRule type="cellIs" dxfId="2" priority="1" operator="lessThanOrEqual">
      <formula>1</formula>
    </cfRule>
  </conditionalFormatting>
  <conditionalFormatting sqref="I5:I85">
    <cfRule type="cellIs" dxfId="1" priority="2" operator="equal">
      <formula>2</formula>
    </cfRule>
  </conditionalFormatting>
  <conditionalFormatting sqref="I5:I85">
    <cfRule type="cellIs" dxfId="0" priority="3" operator="greaterThanOrEqual">
      <formula>3</formula>
    </cfRule>
  </conditionalFormatting>
  <pageMargins left="0.511811024" right="0.511811024" top="0.78740157499999996" bottom="0.78740157499999996" header="0.31496062000000002" footer="0.31496062000000002"/>
</worksheet>
</file>

<file path=xl/worksheets/sheet3.xml><?xml version="1.0" encoding="utf-8"?>
<worksheet xmlns="http://schemas.openxmlformats.org/spreadsheetml/2006/main" xmlns:r="http://schemas.openxmlformats.org/officeDocument/2006/relationships">
  <dimension ref="A1:R72"/>
  <sheetViews>
    <sheetView workbookViewId="0">
      <selection activeCell="M36" sqref="M36"/>
    </sheetView>
  </sheetViews>
  <sheetFormatPr defaultColWidth="17.28515625" defaultRowHeight="15" customHeight="1"/>
  <cols>
    <col min="1" max="1" width="15.85546875" customWidth="1"/>
    <col min="2" max="10" width="8.7109375" customWidth="1"/>
    <col min="11" max="11" width="6.5703125" customWidth="1"/>
    <col min="12" max="12" width="15" customWidth="1"/>
    <col min="13" max="13" width="9.7109375" customWidth="1"/>
    <col min="14" max="18" width="8.7109375" customWidth="1"/>
  </cols>
  <sheetData>
    <row r="1" spans="1:18" ht="95.25" customHeight="1">
      <c r="A1" s="615" t="e">
        <f ca="1">image("http://gdurl.com/nRL4",2)</f>
        <v>#NAME?</v>
      </c>
      <c r="B1" s="549"/>
      <c r="C1" s="549"/>
      <c r="D1" s="549"/>
      <c r="E1" s="549"/>
      <c r="F1" s="549"/>
      <c r="G1" s="549"/>
      <c r="H1" s="549"/>
      <c r="I1" s="549"/>
      <c r="J1" s="549"/>
      <c r="K1" s="549"/>
      <c r="L1" s="549"/>
      <c r="M1" s="207"/>
      <c r="N1" s="208"/>
      <c r="O1" s="208"/>
      <c r="P1" s="208"/>
      <c r="Q1" s="208"/>
      <c r="R1" s="208"/>
    </row>
    <row r="2" spans="1:18" ht="62.25" customHeight="1">
      <c r="A2" s="604" t="s">
        <v>1630</v>
      </c>
      <c r="B2" s="549"/>
      <c r="C2" s="549"/>
      <c r="D2" s="549"/>
      <c r="E2" s="549"/>
      <c r="F2" s="549"/>
      <c r="G2" s="549"/>
      <c r="H2" s="549"/>
      <c r="I2" s="549"/>
      <c r="J2" s="549"/>
      <c r="K2" s="549"/>
      <c r="L2" s="549"/>
      <c r="M2" s="209"/>
      <c r="N2" s="9"/>
      <c r="O2" s="9"/>
      <c r="P2" s="9"/>
      <c r="Q2" s="9"/>
      <c r="R2" s="9"/>
    </row>
    <row r="3" spans="1:18" ht="26.25" customHeight="1">
      <c r="A3" s="614" t="s">
        <v>1464</v>
      </c>
      <c r="B3" s="577"/>
      <c r="C3" s="577"/>
      <c r="D3" s="577"/>
      <c r="E3" s="577"/>
      <c r="F3" s="577"/>
      <c r="G3" s="577"/>
      <c r="H3" s="577"/>
      <c r="I3" s="577"/>
      <c r="J3" s="577"/>
      <c r="K3" s="577"/>
      <c r="L3" s="551"/>
      <c r="M3" s="210"/>
      <c r="N3" s="210"/>
      <c r="O3" s="208"/>
      <c r="P3" s="208"/>
      <c r="Q3" s="208"/>
      <c r="R3" s="208"/>
    </row>
    <row r="4" spans="1:18" ht="26.25" customHeight="1">
      <c r="A4" s="8" t="s">
        <v>36</v>
      </c>
      <c r="B4" s="553" t="s">
        <v>1465</v>
      </c>
      <c r="C4" s="577"/>
      <c r="D4" s="577"/>
      <c r="E4" s="577"/>
      <c r="F4" s="577"/>
      <c r="G4" s="577"/>
      <c r="H4" s="577"/>
      <c r="I4" s="577"/>
      <c r="J4" s="577"/>
      <c r="K4" s="551"/>
      <c r="L4" s="8" t="s">
        <v>1466</v>
      </c>
      <c r="M4" s="40"/>
      <c r="N4" s="208"/>
      <c r="O4" s="208"/>
      <c r="P4" s="208"/>
      <c r="Q4" s="208"/>
      <c r="R4" s="208"/>
    </row>
    <row r="5" spans="1:18" ht="16.5" customHeight="1">
      <c r="A5" s="150" t="s">
        <v>16</v>
      </c>
      <c r="B5" s="211" t="str">
        <f>Critérios!B7</f>
        <v>COMPOSIÇÃO, ORGANIZAÇÃO E FUNCIONAMENTO DOS TCs.</v>
      </c>
      <c r="C5" s="212"/>
      <c r="D5" s="212"/>
      <c r="E5" s="212"/>
      <c r="F5" s="212"/>
      <c r="G5" s="213"/>
      <c r="H5" s="213"/>
      <c r="I5" s="213"/>
      <c r="J5" s="213"/>
      <c r="K5" s="213"/>
      <c r="L5" s="214" t="str">
        <f>Critérios!G7</f>
        <v>Não se aplica</v>
      </c>
      <c r="M5" s="215">
        <v>4</v>
      </c>
      <c r="N5" s="215">
        <v>3</v>
      </c>
      <c r="O5" s="215">
        <v>2</v>
      </c>
      <c r="P5" s="215">
        <v>1</v>
      </c>
      <c r="Q5" s="216"/>
      <c r="R5" s="215" t="str">
        <f t="shared" ref="R5:R7" si="0">L5</f>
        <v>Não se aplica</v>
      </c>
    </row>
    <row r="6" spans="1:18" ht="16.5" customHeight="1">
      <c r="A6" s="23" t="s">
        <v>1467</v>
      </c>
      <c r="B6" s="217" t="str">
        <f>Critérios!B27</f>
        <v xml:space="preserve"> PLANEJAMENTO ESTRATÉGICO</v>
      </c>
      <c r="C6" s="218"/>
      <c r="D6" s="218"/>
      <c r="E6" s="218"/>
      <c r="F6" s="218"/>
      <c r="G6" s="219"/>
      <c r="H6" s="219"/>
      <c r="I6" s="219"/>
      <c r="J6" s="219"/>
      <c r="K6" s="220"/>
      <c r="L6" s="221" t="str">
        <f>Critérios!G27</f>
        <v>Não se aplica</v>
      </c>
      <c r="M6" s="215">
        <v>4</v>
      </c>
      <c r="N6" s="215">
        <v>3</v>
      </c>
      <c r="O6" s="215">
        <v>2</v>
      </c>
      <c r="P6" s="215">
        <v>1</v>
      </c>
      <c r="Q6" s="216"/>
      <c r="R6" s="215" t="str">
        <f t="shared" si="0"/>
        <v>Não se aplica</v>
      </c>
    </row>
    <row r="7" spans="1:18" ht="16.5" customHeight="1">
      <c r="A7" s="150" t="s">
        <v>1468</v>
      </c>
      <c r="B7" s="211" t="str">
        <f>Critérios!B55</f>
        <v>CÓDIGO DE ÉTICA PARA MEMBROS E SERVIDORES</v>
      </c>
      <c r="C7" s="212"/>
      <c r="D7" s="212"/>
      <c r="E7" s="212"/>
      <c r="F7" s="212"/>
      <c r="G7" s="213"/>
      <c r="H7" s="213"/>
      <c r="I7" s="213"/>
      <c r="J7" s="213"/>
      <c r="K7" s="213"/>
      <c r="L7" s="214" t="str">
        <f>Critérios!G55</f>
        <v>Não se aplica</v>
      </c>
      <c r="M7" s="215">
        <v>4</v>
      </c>
      <c r="N7" s="215">
        <v>3</v>
      </c>
      <c r="O7" s="215">
        <v>2</v>
      </c>
      <c r="P7" s="215">
        <v>1</v>
      </c>
      <c r="Q7" s="216"/>
      <c r="R7" s="215" t="str">
        <f t="shared" si="0"/>
        <v>Não se aplica</v>
      </c>
    </row>
    <row r="8" spans="1:18" ht="16.5" customHeight="1">
      <c r="A8" s="23" t="s">
        <v>1469</v>
      </c>
      <c r="B8" s="217" t="str">
        <f>Critérios!B67</f>
        <v>SÚMULA E JURISPRUDÊNCIA</v>
      </c>
      <c r="C8" s="218"/>
      <c r="D8" s="218"/>
      <c r="E8" s="218"/>
      <c r="F8" s="218"/>
      <c r="G8" s="219"/>
      <c r="H8" s="219"/>
      <c r="I8" s="219"/>
      <c r="J8" s="219"/>
      <c r="K8" s="220"/>
      <c r="L8" s="221" t="str">
        <f>Critérios!G67</f>
        <v>Não se aplica</v>
      </c>
      <c r="M8" s="215">
        <v>4</v>
      </c>
      <c r="N8" s="215">
        <v>3</v>
      </c>
      <c r="O8" s="215">
        <v>2</v>
      </c>
      <c r="P8" s="215">
        <v>1</v>
      </c>
      <c r="Q8" s="216"/>
      <c r="R8" s="215">
        <v>2</v>
      </c>
    </row>
    <row r="9" spans="1:18" ht="16.5" customHeight="1">
      <c r="A9" s="150" t="s">
        <v>1470</v>
      </c>
      <c r="B9" s="211" t="str">
        <f>Critérios!B87</f>
        <v>CORREGEDORIA</v>
      </c>
      <c r="C9" s="212"/>
      <c r="D9" s="212"/>
      <c r="E9" s="212"/>
      <c r="F9" s="212"/>
      <c r="G9" s="213"/>
      <c r="H9" s="213"/>
      <c r="I9" s="213"/>
      <c r="J9" s="213"/>
      <c r="K9" s="213"/>
      <c r="L9" s="214" t="str">
        <f>Critérios!G87</f>
        <v>Não se aplica</v>
      </c>
      <c r="M9" s="215">
        <v>4</v>
      </c>
      <c r="N9" s="215">
        <v>3</v>
      </c>
      <c r="O9" s="215">
        <v>2</v>
      </c>
      <c r="P9" s="215">
        <v>1</v>
      </c>
      <c r="Q9" s="216"/>
      <c r="R9" s="215">
        <v>2</v>
      </c>
    </row>
    <row r="10" spans="1:18" ht="16.5" customHeight="1">
      <c r="A10" s="23" t="s">
        <v>1471</v>
      </c>
      <c r="B10" s="217" t="str">
        <f>Critérios!B115</f>
        <v>CONTROLE INTERNO</v>
      </c>
      <c r="C10" s="218"/>
      <c r="D10" s="218"/>
      <c r="E10" s="218"/>
      <c r="F10" s="218"/>
      <c r="G10" s="219"/>
      <c r="H10" s="219"/>
      <c r="I10" s="219"/>
      <c r="J10" s="219"/>
      <c r="K10" s="220"/>
      <c r="L10" s="221" t="str">
        <f>Critérios!G115</f>
        <v>Não se aplica</v>
      </c>
      <c r="M10" s="215">
        <v>4</v>
      </c>
      <c r="N10" s="215">
        <v>3</v>
      </c>
      <c r="O10" s="215">
        <v>2</v>
      </c>
      <c r="P10" s="215">
        <v>1</v>
      </c>
      <c r="Q10" s="216"/>
      <c r="R10" s="215">
        <v>3</v>
      </c>
    </row>
    <row r="11" spans="1:18" ht="16.5" customHeight="1">
      <c r="A11" s="150" t="s">
        <v>1472</v>
      </c>
      <c r="B11" s="211" t="str">
        <f>Critérios!B151</f>
        <v>GESTÃO DE TECNOLOGIA DA INFORMAÇÃO</v>
      </c>
      <c r="C11" s="212"/>
      <c r="D11" s="212"/>
      <c r="E11" s="212"/>
      <c r="F11" s="212"/>
      <c r="G11" s="213"/>
      <c r="H11" s="213"/>
      <c r="I11" s="213"/>
      <c r="J11" s="213"/>
      <c r="K11" s="213"/>
      <c r="L11" s="214" t="str">
        <f>Critérios!G151</f>
        <v>Não se aplica</v>
      </c>
      <c r="M11" s="215">
        <v>4</v>
      </c>
      <c r="N11" s="215">
        <v>3</v>
      </c>
      <c r="O11" s="215">
        <v>2</v>
      </c>
      <c r="P11" s="215">
        <v>1</v>
      </c>
      <c r="Q11" s="216"/>
      <c r="R11" s="215" t="str">
        <f>L11</f>
        <v>Não se aplica</v>
      </c>
    </row>
    <row r="12" spans="1:18" ht="16.5" customHeight="1">
      <c r="A12" s="23" t="s">
        <v>504</v>
      </c>
      <c r="B12" s="217" t="str">
        <f>Critérios!B164</f>
        <v>GESTÃO DE PESSOAS</v>
      </c>
      <c r="C12" s="218"/>
      <c r="D12" s="218"/>
      <c r="E12" s="218"/>
      <c r="F12" s="218"/>
      <c r="G12" s="219"/>
      <c r="H12" s="219"/>
      <c r="I12" s="219"/>
      <c r="J12" s="219"/>
      <c r="K12" s="220"/>
      <c r="L12" s="221" t="str">
        <f>Critérios!G164</f>
        <v>Não se aplica</v>
      </c>
      <c r="M12" s="215">
        <v>4</v>
      </c>
      <c r="N12" s="215">
        <v>3</v>
      </c>
      <c r="O12" s="215">
        <v>2</v>
      </c>
      <c r="P12" s="215">
        <v>1</v>
      </c>
      <c r="Q12" s="216"/>
      <c r="R12" s="215">
        <v>2</v>
      </c>
    </row>
    <row r="13" spans="1:18" ht="16.5" customHeight="1">
      <c r="A13" s="150" t="s">
        <v>1473</v>
      </c>
      <c r="B13" s="211" t="str">
        <f>Critérios!B196</f>
        <v>ESCOLA DE CONTAS</v>
      </c>
      <c r="C13" s="212"/>
      <c r="D13" s="212"/>
      <c r="E13" s="212"/>
      <c r="F13" s="212"/>
      <c r="G13" s="213"/>
      <c r="H13" s="213"/>
      <c r="I13" s="213"/>
      <c r="J13" s="213"/>
      <c r="K13" s="213"/>
      <c r="L13" s="214" t="str">
        <f>Critérios!G196</f>
        <v>Não se aplica</v>
      </c>
      <c r="M13" s="215">
        <v>4</v>
      </c>
      <c r="N13" s="215">
        <v>3</v>
      </c>
      <c r="O13" s="215">
        <v>2</v>
      </c>
      <c r="P13" s="215">
        <v>1</v>
      </c>
      <c r="Q13" s="216"/>
      <c r="R13" s="215" t="str">
        <f>L13</f>
        <v>Não se aplica</v>
      </c>
    </row>
    <row r="14" spans="1:18" ht="16.5" customHeight="1">
      <c r="A14" s="23" t="s">
        <v>1474</v>
      </c>
      <c r="B14" s="217" t="str">
        <f>Critérios!B209</f>
        <v>AGILIDADE NO JULGAMENTO DE PROCESSOS E GERENCIAMENTO DE  PRAZOS PELOS TRIBUNAIS DE CONTAS.</v>
      </c>
      <c r="C14" s="218"/>
      <c r="D14" s="218"/>
      <c r="E14" s="218"/>
      <c r="F14" s="218"/>
      <c r="G14" s="219"/>
      <c r="H14" s="219"/>
      <c r="I14" s="219"/>
      <c r="J14" s="219"/>
      <c r="K14" s="220"/>
      <c r="L14" s="221" t="str">
        <f>Critérios!G209</f>
        <v>Não se aplica</v>
      </c>
      <c r="M14" s="215">
        <v>4</v>
      </c>
      <c r="N14" s="215">
        <v>3</v>
      </c>
      <c r="O14" s="215">
        <v>2</v>
      </c>
      <c r="P14" s="215">
        <v>1</v>
      </c>
      <c r="Q14" s="216"/>
      <c r="R14" s="215">
        <v>1</v>
      </c>
    </row>
    <row r="15" spans="1:18" ht="16.5" customHeight="1">
      <c r="A15" s="150" t="s">
        <v>678</v>
      </c>
      <c r="B15" s="211" t="str">
        <f>Critérios!B252</f>
        <v xml:space="preserve"> CONTROLE EXTERNO CONCOMITANTE</v>
      </c>
      <c r="C15" s="212"/>
      <c r="D15" s="212"/>
      <c r="E15" s="212"/>
      <c r="F15" s="212"/>
      <c r="G15" s="213"/>
      <c r="H15" s="213"/>
      <c r="I15" s="213"/>
      <c r="J15" s="213"/>
      <c r="K15" s="213"/>
      <c r="L15" s="214" t="str">
        <f>Critérios!G252</f>
        <v>Não se aplica</v>
      </c>
      <c r="M15" s="215">
        <v>4</v>
      </c>
      <c r="N15" s="215">
        <v>3</v>
      </c>
      <c r="O15" s="215">
        <v>2</v>
      </c>
      <c r="P15" s="215">
        <v>1</v>
      </c>
      <c r="Q15" s="216"/>
      <c r="R15" s="215">
        <v>3</v>
      </c>
    </row>
    <row r="16" spans="1:18" ht="16.5" customHeight="1">
      <c r="A16" s="23" t="s">
        <v>753</v>
      </c>
      <c r="B16" s="217" t="str">
        <f>Critérios!B288</f>
        <v>INFORMAÇÕES ESTRATÉGICAS PARA O CONTROLE EXTERNO</v>
      </c>
      <c r="C16" s="218"/>
      <c r="D16" s="218"/>
      <c r="E16" s="218"/>
      <c r="F16" s="218"/>
      <c r="G16" s="219"/>
      <c r="H16" s="219"/>
      <c r="I16" s="219"/>
      <c r="J16" s="219"/>
      <c r="K16" s="220"/>
      <c r="L16" s="221" t="str">
        <f>Critérios!G288</f>
        <v>Não se aplica</v>
      </c>
      <c r="M16" s="215">
        <v>4</v>
      </c>
      <c r="N16" s="215">
        <v>3</v>
      </c>
      <c r="O16" s="215">
        <v>2</v>
      </c>
      <c r="P16" s="215">
        <v>1</v>
      </c>
      <c r="Q16" s="216"/>
      <c r="R16" s="215">
        <v>3</v>
      </c>
    </row>
    <row r="17" spans="1:18" ht="16.5" customHeight="1">
      <c r="A17" s="150" t="s">
        <v>807</v>
      </c>
      <c r="B17" s="211" t="str">
        <f>Critérios!B314</f>
        <v>ACOMPANHAMENTO DAS DECISÕES</v>
      </c>
      <c r="C17" s="212"/>
      <c r="D17" s="212"/>
      <c r="E17" s="212"/>
      <c r="F17" s="212"/>
      <c r="G17" s="213"/>
      <c r="H17" s="213"/>
      <c r="I17" s="213"/>
      <c r="J17" s="213"/>
      <c r="K17" s="213"/>
      <c r="L17" s="214" t="str">
        <f>Critérios!G314</f>
        <v>Não se aplica</v>
      </c>
      <c r="M17" s="215">
        <v>4</v>
      </c>
      <c r="N17" s="215">
        <v>3</v>
      </c>
      <c r="O17" s="215">
        <v>2</v>
      </c>
      <c r="P17" s="215">
        <v>1</v>
      </c>
      <c r="Q17" s="216"/>
      <c r="R17" s="215">
        <v>2</v>
      </c>
    </row>
    <row r="18" spans="1:18" ht="16.5" customHeight="1">
      <c r="A18" s="23" t="s">
        <v>1475</v>
      </c>
      <c r="B18" s="217" t="str">
        <f>Critérios!B329</f>
        <v>ACORDOS DE COOPERAÇÃO TÉCNICA COM OUTROS ORGÃOS</v>
      </c>
      <c r="C18" s="218"/>
      <c r="D18" s="218"/>
      <c r="E18" s="218"/>
      <c r="F18" s="218"/>
      <c r="G18" s="219"/>
      <c r="H18" s="219"/>
      <c r="I18" s="219"/>
      <c r="J18" s="219"/>
      <c r="K18" s="220"/>
      <c r="L18" s="221">
        <f>Critérios!G329</f>
        <v>1</v>
      </c>
      <c r="M18" s="215">
        <v>4</v>
      </c>
      <c r="N18" s="215">
        <v>3</v>
      </c>
      <c r="O18" s="215">
        <v>2</v>
      </c>
      <c r="P18" s="215">
        <v>1</v>
      </c>
      <c r="Q18" s="216"/>
      <c r="R18" s="215">
        <f>L18</f>
        <v>1</v>
      </c>
    </row>
    <row r="19" spans="1:18" ht="16.5" customHeight="1">
      <c r="A19" s="150" t="s">
        <v>1476</v>
      </c>
      <c r="B19" s="211" t="str">
        <f>Critérios!B336</f>
        <v>DESENVOLVIMENTO LOCAL</v>
      </c>
      <c r="C19" s="212"/>
      <c r="D19" s="212"/>
      <c r="E19" s="212"/>
      <c r="F19" s="212"/>
      <c r="G19" s="213"/>
      <c r="H19" s="213"/>
      <c r="I19" s="213"/>
      <c r="J19" s="213"/>
      <c r="K19" s="213"/>
      <c r="L19" s="214" t="str">
        <f>Critérios!G336</f>
        <v>Não se aplica</v>
      </c>
      <c r="M19" s="215">
        <v>4</v>
      </c>
      <c r="N19" s="215">
        <v>3</v>
      </c>
      <c r="O19" s="215">
        <v>2</v>
      </c>
      <c r="P19" s="215">
        <v>1</v>
      </c>
      <c r="Q19" s="216"/>
      <c r="R19" s="215">
        <v>0</v>
      </c>
    </row>
    <row r="20" spans="1:18" ht="16.5" customHeight="1">
      <c r="A20" s="23" t="s">
        <v>1477</v>
      </c>
      <c r="B20" s="217" t="str">
        <f>Critérios!B350</f>
        <v>ORDEM NO PAGAMENTO PÚBLICO</v>
      </c>
      <c r="C20" s="218"/>
      <c r="D20" s="218"/>
      <c r="E20" s="218"/>
      <c r="F20" s="218"/>
      <c r="G20" s="219"/>
      <c r="H20" s="219"/>
      <c r="I20" s="219"/>
      <c r="J20" s="219"/>
      <c r="K20" s="220"/>
      <c r="L20" s="221" t="str">
        <f>Critérios!G350</f>
        <v>Não se aplica</v>
      </c>
      <c r="M20" s="215">
        <v>4</v>
      </c>
      <c r="N20" s="215">
        <v>3</v>
      </c>
      <c r="O20" s="215">
        <v>2</v>
      </c>
      <c r="P20" s="215">
        <v>1</v>
      </c>
      <c r="Q20" s="216"/>
      <c r="R20" s="215">
        <v>0</v>
      </c>
    </row>
    <row r="21" spans="1:18" ht="16.5" customHeight="1">
      <c r="A21" s="150" t="s">
        <v>1478</v>
      </c>
      <c r="B21" s="211" t="str">
        <f>Critérios!B368</f>
        <v>PLANEJAMENTO GERAL DA AUDITORIA E GESTÃO DA QUALIDADE</v>
      </c>
      <c r="C21" s="212"/>
      <c r="D21" s="212"/>
      <c r="E21" s="212"/>
      <c r="F21" s="212"/>
      <c r="G21" s="213"/>
      <c r="H21" s="213"/>
      <c r="I21" s="213"/>
      <c r="J21" s="213"/>
      <c r="K21" s="213"/>
      <c r="L21" s="214" t="str">
        <f>Critérios!G368</f>
        <v>Não se aplica</v>
      </c>
      <c r="M21" s="215">
        <v>4</v>
      </c>
      <c r="N21" s="215">
        <v>3</v>
      </c>
      <c r="O21" s="215">
        <v>2</v>
      </c>
      <c r="P21" s="215">
        <v>1</v>
      </c>
      <c r="Q21" s="216"/>
      <c r="R21" s="215">
        <v>4</v>
      </c>
    </row>
    <row r="22" spans="1:18" ht="16.5" customHeight="1">
      <c r="A22" s="23" t="s">
        <v>1479</v>
      </c>
      <c r="B22" s="217" t="str">
        <f>Critérios!B386</f>
        <v>FUNDAMENTOS DA AUDITORIA DE CONFORMIDADE</v>
      </c>
      <c r="C22" s="218"/>
      <c r="D22" s="218"/>
      <c r="E22" s="218"/>
      <c r="F22" s="218"/>
      <c r="G22" s="219"/>
      <c r="H22" s="219"/>
      <c r="I22" s="219"/>
      <c r="J22" s="219"/>
      <c r="K22" s="220"/>
      <c r="L22" s="221" t="str">
        <f>Critérios!G386</f>
        <v>Não se aplica</v>
      </c>
      <c r="M22" s="215">
        <v>4</v>
      </c>
      <c r="N22" s="215">
        <v>3</v>
      </c>
      <c r="O22" s="215">
        <v>2</v>
      </c>
      <c r="P22" s="215">
        <v>1</v>
      </c>
      <c r="Q22" s="216"/>
      <c r="R22" s="215">
        <v>4</v>
      </c>
    </row>
    <row r="23" spans="1:18" ht="16.5" customHeight="1">
      <c r="A23" s="150" t="s">
        <v>1480</v>
      </c>
      <c r="B23" s="211" t="str">
        <f>Critérios!B432</f>
        <v xml:space="preserve"> PROCESSO DE AUDITORIA DE CONFORMIDADE</v>
      </c>
      <c r="C23" s="212"/>
      <c r="D23" s="212"/>
      <c r="E23" s="212"/>
      <c r="F23" s="212"/>
      <c r="G23" s="213"/>
      <c r="H23" s="213"/>
      <c r="I23" s="213"/>
      <c r="J23" s="213"/>
      <c r="K23" s="213"/>
      <c r="L23" s="214" t="str">
        <f>Critérios!G432</f>
        <v>Não se aplica</v>
      </c>
      <c r="M23" s="215">
        <v>4</v>
      </c>
      <c r="N23" s="215">
        <v>3</v>
      </c>
      <c r="O23" s="215">
        <v>2</v>
      </c>
      <c r="P23" s="215">
        <v>1</v>
      </c>
      <c r="Q23" s="216"/>
      <c r="R23" s="215">
        <v>4</v>
      </c>
    </row>
    <row r="24" spans="1:18" ht="16.5" customHeight="1">
      <c r="A24" s="23" t="s">
        <v>1481</v>
      </c>
      <c r="B24" s="217" t="str">
        <f>Critérios!B458</f>
        <v>FUNDAMENTOS DA AUDITORIA OPERACIONAL</v>
      </c>
      <c r="C24" s="218"/>
      <c r="D24" s="218"/>
      <c r="E24" s="218"/>
      <c r="F24" s="218"/>
      <c r="G24" s="219"/>
      <c r="H24" s="219"/>
      <c r="I24" s="219"/>
      <c r="J24" s="219"/>
      <c r="K24" s="220"/>
      <c r="L24" s="221" t="str">
        <f>Critérios!G458</f>
        <v>Não se aplica</v>
      </c>
      <c r="M24" s="215">
        <v>4</v>
      </c>
      <c r="N24" s="215">
        <v>3</v>
      </c>
      <c r="O24" s="215">
        <v>2</v>
      </c>
      <c r="P24" s="215">
        <v>1</v>
      </c>
      <c r="Q24" s="216"/>
      <c r="R24" s="215">
        <v>3</v>
      </c>
    </row>
    <row r="25" spans="1:18" ht="16.5" customHeight="1">
      <c r="A25" s="150" t="s">
        <v>267</v>
      </c>
      <c r="B25" s="211" t="str">
        <f>Critérios!B494</f>
        <v>PROCESSO DE AUDITORIA OPERACIONAL</v>
      </c>
      <c r="C25" s="212"/>
      <c r="D25" s="212"/>
      <c r="E25" s="212"/>
      <c r="F25" s="212"/>
      <c r="G25" s="213"/>
      <c r="H25" s="213"/>
      <c r="I25" s="213"/>
      <c r="J25" s="213"/>
      <c r="K25" s="213"/>
      <c r="L25" s="214" t="str">
        <f>Critérios!G494</f>
        <v>Não se aplica</v>
      </c>
      <c r="M25" s="215">
        <v>4</v>
      </c>
      <c r="N25" s="215">
        <v>3</v>
      </c>
      <c r="O25" s="215">
        <v>2</v>
      </c>
      <c r="P25" s="215">
        <v>1</v>
      </c>
      <c r="Q25" s="216"/>
      <c r="R25" s="215">
        <v>4</v>
      </c>
    </row>
    <row r="26" spans="1:18" ht="16.5" customHeight="1">
      <c r="A26" s="23" t="s">
        <v>1482</v>
      </c>
      <c r="B26" s="217" t="str">
        <f>Critérios!B517</f>
        <v>RESULTADOS DAS AUDITORIAS DE CONFORMIDADE</v>
      </c>
      <c r="C26" s="218"/>
      <c r="D26" s="218"/>
      <c r="E26" s="218"/>
      <c r="F26" s="218"/>
      <c r="G26" s="219"/>
      <c r="H26" s="219"/>
      <c r="I26" s="219"/>
      <c r="J26" s="219"/>
      <c r="K26" s="220"/>
      <c r="L26" s="221" t="str">
        <f>Critérios!G517</f>
        <v>Não se aplica</v>
      </c>
      <c r="M26" s="215">
        <v>4</v>
      </c>
      <c r="N26" s="215">
        <v>3</v>
      </c>
      <c r="O26" s="215">
        <v>2</v>
      </c>
      <c r="P26" s="215">
        <v>1</v>
      </c>
      <c r="Q26" s="216"/>
      <c r="R26" s="215">
        <v>0</v>
      </c>
    </row>
    <row r="27" spans="1:18" ht="16.5" customHeight="1">
      <c r="A27" s="150" t="s">
        <v>1483</v>
      </c>
      <c r="B27" s="211" t="str">
        <f>Critérios!B542</f>
        <v>RESULTADO DAS AUDITORIAS OPERACIONAIS</v>
      </c>
      <c r="C27" s="212"/>
      <c r="D27" s="212"/>
      <c r="E27" s="212"/>
      <c r="F27" s="212"/>
      <c r="G27" s="213"/>
      <c r="H27" s="213"/>
      <c r="I27" s="213"/>
      <c r="J27" s="213"/>
      <c r="K27" s="213"/>
      <c r="L27" s="214" t="str">
        <f>Critérios!G542</f>
        <v>Não se aplica</v>
      </c>
      <c r="M27" s="215">
        <v>4</v>
      </c>
      <c r="N27" s="215">
        <v>3</v>
      </c>
      <c r="O27" s="215">
        <v>2</v>
      </c>
      <c r="P27" s="215">
        <v>1</v>
      </c>
      <c r="Q27" s="216"/>
      <c r="R27" s="215">
        <v>4</v>
      </c>
    </row>
    <row r="28" spans="1:18" ht="16.5" customHeight="1">
      <c r="A28" s="23" t="s">
        <v>320</v>
      </c>
      <c r="B28" s="222" t="s">
        <v>1257</v>
      </c>
      <c r="C28" s="222"/>
      <c r="D28" s="222"/>
      <c r="E28" s="222"/>
      <c r="F28" s="222"/>
      <c r="G28" s="223"/>
      <c r="H28" s="223"/>
      <c r="I28" s="223"/>
      <c r="J28" s="223"/>
      <c r="K28" s="223"/>
      <c r="L28" s="224" t="str">
        <f>Critérios!G560</f>
        <v>Não se aplica</v>
      </c>
      <c r="M28" s="215">
        <v>0</v>
      </c>
      <c r="N28" s="215">
        <v>0</v>
      </c>
      <c r="O28" s="215">
        <v>0</v>
      </c>
      <c r="P28" s="215">
        <v>0</v>
      </c>
      <c r="Q28" s="216"/>
      <c r="R28" s="215">
        <v>0</v>
      </c>
    </row>
    <row r="29" spans="1:18" ht="16.5" customHeight="1">
      <c r="A29" s="225" t="s">
        <v>327</v>
      </c>
      <c r="B29" s="226" t="str">
        <f>Critérios!B579</f>
        <v>AUDITORIAS COM TEMAS ESPECÍFICOS</v>
      </c>
      <c r="C29" s="227"/>
      <c r="D29" s="227"/>
      <c r="E29" s="228"/>
      <c r="F29" s="229"/>
      <c r="G29" s="230"/>
      <c r="H29" s="230"/>
      <c r="I29" s="230"/>
      <c r="J29" s="230"/>
      <c r="K29" s="231"/>
      <c r="L29" s="232" t="str">
        <f>Critérios!G579</f>
        <v>Não se aplica</v>
      </c>
      <c r="M29" s="215">
        <v>4</v>
      </c>
      <c r="N29" s="215">
        <v>3</v>
      </c>
      <c r="O29" s="215">
        <v>2</v>
      </c>
      <c r="P29" s="215">
        <v>1</v>
      </c>
      <c r="Q29" s="216"/>
      <c r="R29" s="215">
        <v>2</v>
      </c>
    </row>
    <row r="30" spans="1:18" ht="16.5" customHeight="1">
      <c r="A30" s="23" t="s">
        <v>341</v>
      </c>
      <c r="B30" s="233" t="str">
        <f>Critérios!B610</f>
        <v>COMUNICAÇÃO COM A MÍDIA, COM OS CIDADÃOS E COM AS ORGANIZAÇÕES DA DA SOCIEDADE CIVIL</v>
      </c>
      <c r="C30" s="234"/>
      <c r="D30" s="234"/>
      <c r="E30" s="234"/>
      <c r="F30" s="234"/>
      <c r="G30" s="235"/>
      <c r="H30" s="235"/>
      <c r="I30" s="235"/>
      <c r="J30" s="235"/>
      <c r="K30" s="235"/>
      <c r="L30" s="224" t="str">
        <f>Critérios!G610</f>
        <v>Não se aplica</v>
      </c>
      <c r="M30" s="215">
        <v>4</v>
      </c>
      <c r="N30" s="215">
        <v>3</v>
      </c>
      <c r="O30" s="215">
        <v>2</v>
      </c>
      <c r="P30" s="215">
        <v>1</v>
      </c>
      <c r="Q30" s="216"/>
      <c r="R30" s="215">
        <v>2</v>
      </c>
    </row>
    <row r="31" spans="1:18" ht="16.5" customHeight="1">
      <c r="A31" s="225" t="s">
        <v>1419</v>
      </c>
      <c r="B31" s="236" t="str">
        <f>Critérios!B644</f>
        <v>OUVIDORIA</v>
      </c>
      <c r="C31" s="229"/>
      <c r="D31" s="229"/>
      <c r="E31" s="229"/>
      <c r="F31" s="229"/>
      <c r="G31" s="230"/>
      <c r="H31" s="230"/>
      <c r="I31" s="230"/>
      <c r="J31" s="230"/>
      <c r="K31" s="231"/>
      <c r="L31" s="232" t="str">
        <f>Critérios!G644</f>
        <v>Não se aplica</v>
      </c>
      <c r="M31" s="215">
        <v>4</v>
      </c>
      <c r="N31" s="215">
        <v>3</v>
      </c>
      <c r="O31" s="215">
        <v>2</v>
      </c>
      <c r="P31" s="215">
        <v>1</v>
      </c>
      <c r="Q31" s="216"/>
      <c r="R31" s="215">
        <v>3</v>
      </c>
    </row>
    <row r="32" spans="1:18" ht="13.5" hidden="1" customHeight="1">
      <c r="A32" s="237" t="s">
        <v>1484</v>
      </c>
      <c r="B32" s="238" t="s">
        <v>1484</v>
      </c>
      <c r="C32" s="238"/>
      <c r="D32" s="238"/>
      <c r="E32" s="238"/>
      <c r="F32" s="238"/>
      <c r="G32" s="239"/>
      <c r="H32" s="239"/>
      <c r="I32" s="239"/>
      <c r="J32" s="239"/>
      <c r="K32" s="239"/>
      <c r="L32" s="240" t="s">
        <v>1484</v>
      </c>
      <c r="M32" s="215">
        <v>4</v>
      </c>
      <c r="N32" s="215">
        <v>3</v>
      </c>
      <c r="O32" s="215">
        <v>2</v>
      </c>
      <c r="P32" s="215">
        <v>1</v>
      </c>
      <c r="Q32" s="216"/>
      <c r="R32" s="215" t="str">
        <f t="shared" ref="R32:R34" si="1">L32</f>
        <v>#ERROR!</v>
      </c>
    </row>
    <row r="33" spans="1:18" ht="13.5" hidden="1" customHeight="1">
      <c r="A33" s="237" t="s">
        <v>1484</v>
      </c>
      <c r="B33" s="241" t="s">
        <v>1484</v>
      </c>
      <c r="C33" s="241"/>
      <c r="D33" s="241"/>
      <c r="E33" s="241"/>
      <c r="F33" s="241"/>
      <c r="G33" s="242"/>
      <c r="H33" s="242"/>
      <c r="I33" s="242"/>
      <c r="J33" s="242"/>
      <c r="K33" s="242"/>
      <c r="L33" s="240" t="s">
        <v>1484</v>
      </c>
      <c r="M33" s="215">
        <v>4</v>
      </c>
      <c r="N33" s="215">
        <v>3</v>
      </c>
      <c r="O33" s="215">
        <v>2</v>
      </c>
      <c r="P33" s="215">
        <v>1</v>
      </c>
      <c r="Q33" s="216"/>
      <c r="R33" s="215" t="str">
        <f t="shared" si="1"/>
        <v>#ERROR!</v>
      </c>
    </row>
    <row r="34" spans="1:18" ht="13.5" hidden="1" customHeight="1">
      <c r="A34" s="237" t="s">
        <v>1484</v>
      </c>
      <c r="B34" s="241" t="s">
        <v>1484</v>
      </c>
      <c r="C34" s="241"/>
      <c r="D34" s="241"/>
      <c r="E34" s="241"/>
      <c r="F34" s="241"/>
      <c r="G34" s="242"/>
      <c r="H34" s="242"/>
      <c r="I34" s="242"/>
      <c r="J34" s="242"/>
      <c r="K34" s="242"/>
      <c r="L34" s="240" t="s">
        <v>1484</v>
      </c>
      <c r="M34" s="215">
        <v>4</v>
      </c>
      <c r="N34" s="215">
        <v>3</v>
      </c>
      <c r="O34" s="215">
        <v>2</v>
      </c>
      <c r="P34" s="215">
        <v>1</v>
      </c>
      <c r="Q34" s="216"/>
      <c r="R34" s="215" t="str">
        <f t="shared" si="1"/>
        <v>#ERROR!</v>
      </c>
    </row>
    <row r="35" spans="1:18">
      <c r="A35" s="206"/>
      <c r="B35" s="208"/>
      <c r="C35" s="208"/>
      <c r="D35" s="208"/>
      <c r="E35" s="208"/>
      <c r="F35" s="208"/>
      <c r="G35" s="208"/>
      <c r="H35" s="208"/>
      <c r="I35" s="208"/>
      <c r="J35" s="208"/>
      <c r="K35" s="207"/>
      <c r="L35" s="243"/>
      <c r="M35" s="207"/>
      <c r="N35" s="208"/>
      <c r="O35" s="208"/>
      <c r="P35" s="208"/>
      <c r="Q35" s="208"/>
      <c r="R35" s="208"/>
    </row>
    <row r="36" spans="1:18">
      <c r="A36" s="206"/>
      <c r="B36" s="208"/>
      <c r="C36" s="208"/>
      <c r="D36" s="208"/>
      <c r="E36" s="208"/>
      <c r="F36" s="208"/>
      <c r="G36" s="208"/>
      <c r="H36" s="208"/>
      <c r="I36" s="208"/>
      <c r="J36" s="208"/>
      <c r="K36" s="207"/>
      <c r="L36" s="243"/>
      <c r="M36" s="207" t="e">
        <f ca="1">CONT.(L5:L31)</f>
        <v>#NAME?</v>
      </c>
      <c r="N36" s="208"/>
      <c r="O36" s="208"/>
      <c r="P36" s="208"/>
      <c r="Q36" s="208"/>
      <c r="R36" s="208"/>
    </row>
    <row r="37" spans="1:18">
      <c r="A37" s="206"/>
      <c r="B37" s="208"/>
      <c r="C37" s="208"/>
      <c r="D37" s="208"/>
      <c r="E37" s="208"/>
      <c r="F37" s="208"/>
      <c r="G37" s="208"/>
      <c r="H37" s="208"/>
      <c r="I37" s="208"/>
      <c r="J37" s="208"/>
      <c r="K37" s="207"/>
      <c r="L37" s="243"/>
      <c r="M37" s="207"/>
      <c r="N37" s="208"/>
      <c r="O37" s="208"/>
      <c r="P37" s="208"/>
      <c r="Q37" s="208"/>
      <c r="R37" s="208"/>
    </row>
    <row r="38" spans="1:18">
      <c r="A38" s="206"/>
      <c r="B38" s="208"/>
      <c r="C38" s="208"/>
      <c r="D38" s="208"/>
      <c r="E38" s="208"/>
      <c r="F38" s="208"/>
      <c r="G38" s="208"/>
      <c r="H38" s="208"/>
      <c r="I38" s="208"/>
      <c r="J38" s="208"/>
      <c r="K38" s="207"/>
      <c r="L38" s="243"/>
      <c r="M38" s="207"/>
      <c r="N38" s="208"/>
      <c r="O38" s="208"/>
      <c r="P38" s="208"/>
      <c r="Q38" s="208"/>
      <c r="R38" s="208"/>
    </row>
    <row r="39" spans="1:18">
      <c r="A39" s="206"/>
      <c r="B39" s="208"/>
      <c r="C39" s="208"/>
      <c r="D39" s="208"/>
      <c r="E39" s="208"/>
      <c r="F39" s="208"/>
      <c r="G39" s="208"/>
      <c r="H39" s="208"/>
      <c r="I39" s="208"/>
      <c r="J39" s="208"/>
      <c r="K39" s="207"/>
      <c r="L39" s="243"/>
      <c r="M39" s="207"/>
      <c r="N39" s="208"/>
      <c r="O39" s="208"/>
      <c r="P39" s="208"/>
      <c r="Q39" s="208"/>
      <c r="R39" s="208"/>
    </row>
    <row r="40" spans="1:18">
      <c r="A40" s="206"/>
      <c r="B40" s="208"/>
      <c r="C40" s="208"/>
      <c r="D40" s="208"/>
      <c r="E40" s="208"/>
      <c r="F40" s="208"/>
      <c r="G40" s="208"/>
      <c r="H40" s="208"/>
      <c r="I40" s="208"/>
      <c r="J40" s="208"/>
      <c r="K40" s="207"/>
      <c r="L40" s="243"/>
      <c r="M40" s="207"/>
      <c r="N40" s="208"/>
      <c r="O40" s="208"/>
      <c r="P40" s="208"/>
      <c r="Q40" s="208"/>
      <c r="R40" s="208"/>
    </row>
    <row r="41" spans="1:18">
      <c r="A41" s="206"/>
      <c r="B41" s="208"/>
      <c r="C41" s="208"/>
      <c r="D41" s="208"/>
      <c r="E41" s="208"/>
      <c r="F41" s="208"/>
      <c r="G41" s="208"/>
      <c r="H41" s="208"/>
      <c r="I41" s="208"/>
      <c r="J41" s="208"/>
      <c r="K41" s="207"/>
      <c r="L41" s="243"/>
      <c r="M41" s="207"/>
      <c r="N41" s="208"/>
      <c r="O41" s="208"/>
      <c r="P41" s="208"/>
      <c r="Q41" s="208"/>
      <c r="R41" s="208"/>
    </row>
    <row r="42" spans="1:18">
      <c r="A42" s="206"/>
      <c r="B42" s="208"/>
      <c r="C42" s="208"/>
      <c r="D42" s="208"/>
      <c r="E42" s="208"/>
      <c r="F42" s="208"/>
      <c r="G42" s="208"/>
      <c r="H42" s="208"/>
      <c r="I42" s="208"/>
      <c r="J42" s="208"/>
      <c r="K42" s="207"/>
      <c r="L42" s="243"/>
      <c r="M42" s="207"/>
      <c r="N42" s="208"/>
      <c r="O42" s="208"/>
      <c r="P42" s="208"/>
      <c r="Q42" s="208"/>
      <c r="R42" s="208"/>
    </row>
    <row r="43" spans="1:18">
      <c r="A43" s="206"/>
      <c r="B43" s="208"/>
      <c r="C43" s="208"/>
      <c r="D43" s="208"/>
      <c r="E43" s="208"/>
      <c r="F43" s="208"/>
      <c r="G43" s="208"/>
      <c r="H43" s="208"/>
      <c r="I43" s="208"/>
      <c r="J43" s="208"/>
      <c r="K43" s="207"/>
      <c r="L43" s="243"/>
      <c r="M43" s="207"/>
      <c r="N43" s="208"/>
      <c r="O43" s="208"/>
      <c r="P43" s="208"/>
      <c r="Q43" s="208"/>
      <c r="R43" s="208"/>
    </row>
    <row r="44" spans="1:18">
      <c r="A44" s="206"/>
      <c r="B44" s="208"/>
      <c r="C44" s="208"/>
      <c r="D44" s="208"/>
      <c r="E44" s="208"/>
      <c r="F44" s="208"/>
      <c r="G44" s="208"/>
      <c r="H44" s="208"/>
      <c r="I44" s="208"/>
      <c r="J44" s="208"/>
      <c r="K44" s="207"/>
      <c r="L44" s="243"/>
      <c r="M44" s="207"/>
      <c r="N44" s="208"/>
      <c r="O44" s="208"/>
      <c r="P44" s="208"/>
      <c r="Q44" s="208"/>
      <c r="R44" s="208"/>
    </row>
    <row r="45" spans="1:18">
      <c r="A45" s="206"/>
      <c r="B45" s="208"/>
      <c r="C45" s="208"/>
      <c r="D45" s="208"/>
      <c r="E45" s="208"/>
      <c r="F45" s="208"/>
      <c r="G45" s="208"/>
      <c r="H45" s="208"/>
      <c r="I45" s="208"/>
      <c r="J45" s="208"/>
      <c r="K45" s="207"/>
      <c r="L45" s="243"/>
      <c r="M45" s="207"/>
      <c r="N45" s="208"/>
      <c r="O45" s="208"/>
      <c r="P45" s="208"/>
      <c r="Q45" s="208"/>
      <c r="R45" s="208"/>
    </row>
    <row r="46" spans="1:18">
      <c r="A46" s="206"/>
      <c r="B46" s="208"/>
      <c r="C46" s="208"/>
      <c r="D46" s="208"/>
      <c r="E46" s="208"/>
      <c r="F46" s="208"/>
      <c r="G46" s="208"/>
      <c r="H46" s="208"/>
      <c r="I46" s="208"/>
      <c r="J46" s="208"/>
      <c r="K46" s="207"/>
      <c r="L46" s="243"/>
      <c r="M46" s="207"/>
      <c r="N46" s="208"/>
      <c r="O46" s="208"/>
      <c r="P46" s="208"/>
      <c r="Q46" s="208"/>
      <c r="R46" s="208"/>
    </row>
    <row r="47" spans="1:18">
      <c r="A47" s="206"/>
      <c r="B47" s="208"/>
      <c r="C47" s="208"/>
      <c r="D47" s="208"/>
      <c r="E47" s="208"/>
      <c r="F47" s="208"/>
      <c r="G47" s="208"/>
      <c r="H47" s="208"/>
      <c r="I47" s="208"/>
      <c r="J47" s="208"/>
      <c r="K47" s="207"/>
      <c r="L47" s="243"/>
      <c r="M47" s="207"/>
      <c r="N47" s="208"/>
      <c r="O47" s="208"/>
      <c r="P47" s="208"/>
      <c r="Q47" s="208"/>
      <c r="R47" s="208"/>
    </row>
    <row r="48" spans="1:18">
      <c r="A48" s="206"/>
      <c r="B48" s="208"/>
      <c r="C48" s="208"/>
      <c r="D48" s="208"/>
      <c r="E48" s="208"/>
      <c r="F48" s="208"/>
      <c r="G48" s="208"/>
      <c r="H48" s="208"/>
      <c r="I48" s="208"/>
      <c r="J48" s="208"/>
      <c r="K48" s="207"/>
      <c r="L48" s="243"/>
      <c r="M48" s="207"/>
      <c r="N48" s="208"/>
      <c r="O48" s="208"/>
      <c r="P48" s="208"/>
      <c r="Q48" s="208"/>
      <c r="R48" s="208"/>
    </row>
    <row r="49" spans="1:18">
      <c r="A49" s="206"/>
      <c r="B49" s="208"/>
      <c r="C49" s="208"/>
      <c r="D49" s="208"/>
      <c r="E49" s="208"/>
      <c r="F49" s="208"/>
      <c r="G49" s="208"/>
      <c r="H49" s="208"/>
      <c r="I49" s="208"/>
      <c r="J49" s="208"/>
      <c r="K49" s="207"/>
      <c r="L49" s="243"/>
      <c r="M49" s="207"/>
      <c r="N49" s="208"/>
      <c r="O49" s="208"/>
      <c r="P49" s="208"/>
      <c r="Q49" s="208"/>
      <c r="R49" s="208"/>
    </row>
    <row r="50" spans="1:18">
      <c r="A50" s="206"/>
      <c r="B50" s="208"/>
      <c r="C50" s="208"/>
      <c r="D50" s="208"/>
      <c r="E50" s="208"/>
      <c r="F50" s="208"/>
      <c r="G50" s="208"/>
      <c r="H50" s="208"/>
      <c r="I50" s="208"/>
      <c r="J50" s="208"/>
      <c r="K50" s="207"/>
      <c r="L50" s="243"/>
      <c r="M50" s="207"/>
      <c r="N50" s="208"/>
      <c r="O50" s="208"/>
      <c r="P50" s="208"/>
      <c r="Q50" s="208"/>
      <c r="R50" s="208"/>
    </row>
    <row r="51" spans="1:18">
      <c r="A51" s="206"/>
      <c r="B51" s="208"/>
      <c r="C51" s="208"/>
      <c r="D51" s="208"/>
      <c r="E51" s="208"/>
      <c r="F51" s="208"/>
      <c r="G51" s="208"/>
      <c r="H51" s="208"/>
      <c r="I51" s="208"/>
      <c r="J51" s="208"/>
      <c r="K51" s="207"/>
      <c r="L51" s="243"/>
      <c r="M51" s="207"/>
      <c r="N51" s="208"/>
      <c r="O51" s="208"/>
      <c r="P51" s="208"/>
      <c r="Q51" s="208"/>
      <c r="R51" s="208"/>
    </row>
    <row r="52" spans="1:18">
      <c r="A52" s="206"/>
      <c r="B52" s="208"/>
      <c r="C52" s="208"/>
      <c r="D52" s="208"/>
      <c r="E52" s="208"/>
      <c r="F52" s="208"/>
      <c r="G52" s="208"/>
      <c r="H52" s="208"/>
      <c r="I52" s="208"/>
      <c r="J52" s="208"/>
      <c r="K52" s="207"/>
      <c r="L52" s="243"/>
      <c r="M52" s="207"/>
      <c r="N52" s="208"/>
      <c r="O52" s="208"/>
      <c r="P52" s="208"/>
      <c r="Q52" s="208"/>
      <c r="R52" s="208"/>
    </row>
    <row r="53" spans="1:18">
      <c r="A53" s="206"/>
      <c r="B53" s="208"/>
      <c r="C53" s="208"/>
      <c r="D53" s="208"/>
      <c r="E53" s="208"/>
      <c r="F53" s="208"/>
      <c r="G53" s="208"/>
      <c r="H53" s="208"/>
      <c r="I53" s="208"/>
      <c r="J53" s="208"/>
      <c r="K53" s="207"/>
      <c r="L53" s="243"/>
      <c r="M53" s="207"/>
      <c r="N53" s="208"/>
      <c r="O53" s="208"/>
      <c r="P53" s="208"/>
      <c r="Q53" s="208"/>
      <c r="R53" s="208"/>
    </row>
    <row r="54" spans="1:18">
      <c r="A54" s="206"/>
      <c r="B54" s="208"/>
      <c r="C54" s="208"/>
      <c r="D54" s="208"/>
      <c r="E54" s="208"/>
      <c r="F54" s="208"/>
      <c r="G54" s="208"/>
      <c r="H54" s="208"/>
      <c r="I54" s="208"/>
      <c r="J54" s="208"/>
      <c r="K54" s="207"/>
      <c r="L54" s="243"/>
      <c r="M54" s="207"/>
      <c r="N54" s="208"/>
      <c r="O54" s="208"/>
      <c r="P54" s="208"/>
      <c r="Q54" s="208"/>
      <c r="R54" s="208"/>
    </row>
    <row r="55" spans="1:18">
      <c r="A55" s="206"/>
      <c r="B55" s="208"/>
      <c r="C55" s="208"/>
      <c r="D55" s="208"/>
      <c r="E55" s="208"/>
      <c r="F55" s="208"/>
      <c r="G55" s="208"/>
      <c r="H55" s="208"/>
      <c r="I55" s="208"/>
      <c r="J55" s="208"/>
      <c r="K55" s="207"/>
      <c r="L55" s="207"/>
      <c r="M55" s="207"/>
      <c r="N55" s="208"/>
      <c r="O55" s="208"/>
      <c r="P55" s="208"/>
      <c r="Q55" s="208"/>
      <c r="R55" s="208"/>
    </row>
    <row r="56" spans="1:18">
      <c r="A56" s="206"/>
      <c r="B56" s="208"/>
      <c r="C56" s="208"/>
      <c r="D56" s="208"/>
      <c r="E56" s="208"/>
      <c r="F56" s="208"/>
      <c r="G56" s="208"/>
      <c r="H56" s="208"/>
      <c r="I56" s="208"/>
      <c r="J56" s="208"/>
      <c r="K56" s="207"/>
      <c r="L56" s="243"/>
      <c r="M56" s="207"/>
      <c r="N56" s="208"/>
      <c r="O56" s="208"/>
      <c r="P56" s="208"/>
      <c r="Q56" s="208"/>
      <c r="R56" s="208"/>
    </row>
    <row r="57" spans="1:18">
      <c r="A57" s="206"/>
      <c r="B57" s="208"/>
      <c r="C57" s="208"/>
      <c r="D57" s="208"/>
      <c r="E57" s="208"/>
      <c r="F57" s="208"/>
      <c r="G57" s="208"/>
      <c r="H57" s="208"/>
      <c r="I57" s="208"/>
      <c r="J57" s="208"/>
      <c r="K57" s="207"/>
      <c r="L57" s="243"/>
      <c r="M57" s="207"/>
      <c r="N57" s="208"/>
      <c r="O57" s="208"/>
      <c r="P57" s="208"/>
      <c r="Q57" s="208"/>
      <c r="R57" s="208"/>
    </row>
    <row r="58" spans="1:18">
      <c r="A58" s="206"/>
      <c r="B58" s="208"/>
      <c r="C58" s="208"/>
      <c r="D58" s="208"/>
      <c r="E58" s="208"/>
      <c r="F58" s="208"/>
      <c r="G58" s="208"/>
      <c r="H58" s="208"/>
      <c r="I58" s="208"/>
      <c r="J58" s="208"/>
      <c r="K58" s="207"/>
      <c r="L58" s="243"/>
      <c r="M58" s="207"/>
      <c r="N58" s="208"/>
      <c r="O58" s="208"/>
      <c r="P58" s="208"/>
      <c r="Q58" s="208"/>
      <c r="R58" s="208"/>
    </row>
    <row r="59" spans="1:18">
      <c r="A59" s="206"/>
      <c r="B59" s="208"/>
      <c r="C59" s="208"/>
      <c r="D59" s="208"/>
      <c r="E59" s="208"/>
      <c r="F59" s="208"/>
      <c r="G59" s="208"/>
      <c r="H59" s="208"/>
      <c r="I59" s="208"/>
      <c r="J59" s="208"/>
      <c r="K59" s="207"/>
      <c r="L59" s="243"/>
      <c r="M59" s="207"/>
      <c r="N59" s="208"/>
      <c r="O59" s="208"/>
      <c r="P59" s="208"/>
      <c r="Q59" s="208"/>
      <c r="R59" s="208"/>
    </row>
    <row r="60" spans="1:18">
      <c r="A60" s="206"/>
      <c r="B60" s="208"/>
      <c r="C60" s="208"/>
      <c r="D60" s="208"/>
      <c r="E60" s="208"/>
      <c r="F60" s="208"/>
      <c r="G60" s="208"/>
      <c r="H60" s="208"/>
      <c r="I60" s="208"/>
      <c r="J60" s="208"/>
      <c r="K60" s="207"/>
      <c r="L60" s="243"/>
      <c r="M60" s="207"/>
      <c r="N60" s="208"/>
      <c r="O60" s="208"/>
      <c r="P60" s="208"/>
      <c r="Q60" s="208"/>
      <c r="R60" s="208"/>
    </row>
    <row r="61" spans="1:18">
      <c r="A61" s="244"/>
      <c r="B61" s="208"/>
      <c r="C61" s="208"/>
      <c r="D61" s="208"/>
      <c r="E61" s="208"/>
      <c r="F61" s="208"/>
      <c r="G61" s="208"/>
      <c r="H61" s="208"/>
      <c r="I61" s="208"/>
      <c r="J61" s="208"/>
      <c r="K61" s="207"/>
      <c r="L61" s="207"/>
      <c r="M61" s="207"/>
      <c r="N61" s="208"/>
      <c r="O61" s="208"/>
      <c r="P61" s="208"/>
      <c r="Q61" s="208"/>
      <c r="R61" s="208"/>
    </row>
    <row r="62" spans="1:18">
      <c r="A62" s="206"/>
      <c r="B62" s="208"/>
      <c r="C62" s="208"/>
      <c r="D62" s="208"/>
      <c r="E62" s="208"/>
      <c r="F62" s="208"/>
      <c r="G62" s="208"/>
      <c r="H62" s="208"/>
      <c r="I62" s="208"/>
      <c r="J62" s="208"/>
      <c r="K62" s="207"/>
      <c r="L62" s="243"/>
      <c r="M62" s="207"/>
      <c r="N62" s="208"/>
      <c r="O62" s="208"/>
      <c r="P62" s="208"/>
      <c r="Q62" s="208"/>
      <c r="R62" s="208"/>
    </row>
    <row r="63" spans="1:18">
      <c r="A63" s="206"/>
      <c r="B63" s="208"/>
      <c r="C63" s="208"/>
      <c r="D63" s="208"/>
      <c r="E63" s="208"/>
      <c r="F63" s="208"/>
      <c r="G63" s="208"/>
      <c r="H63" s="208"/>
      <c r="I63" s="208"/>
      <c r="J63" s="208"/>
      <c r="K63" s="207"/>
      <c r="L63" s="243"/>
      <c r="M63" s="207"/>
      <c r="N63" s="208"/>
      <c r="O63" s="208"/>
      <c r="P63" s="208"/>
      <c r="Q63" s="208"/>
      <c r="R63" s="208"/>
    </row>
    <row r="64" spans="1:18">
      <c r="A64" s="206"/>
      <c r="B64" s="208"/>
      <c r="C64" s="208"/>
      <c r="D64" s="208"/>
      <c r="E64" s="208"/>
      <c r="F64" s="208"/>
      <c r="G64" s="208"/>
      <c r="H64" s="208"/>
      <c r="I64" s="208"/>
      <c r="J64" s="208"/>
      <c r="K64" s="207"/>
      <c r="L64" s="243"/>
      <c r="M64" s="207"/>
      <c r="N64" s="208"/>
      <c r="O64" s="208"/>
      <c r="P64" s="208"/>
      <c r="Q64" s="208"/>
      <c r="R64" s="208"/>
    </row>
    <row r="65" spans="1:18">
      <c r="A65" s="206"/>
      <c r="B65" s="208"/>
      <c r="C65" s="208"/>
      <c r="D65" s="208"/>
      <c r="E65" s="208"/>
      <c r="F65" s="208"/>
      <c r="G65" s="208"/>
      <c r="H65" s="208"/>
      <c r="I65" s="208"/>
      <c r="J65" s="208"/>
      <c r="K65" s="207"/>
      <c r="L65" s="243"/>
      <c r="M65" s="207"/>
      <c r="N65" s="208"/>
      <c r="O65" s="208"/>
      <c r="P65" s="208"/>
      <c r="Q65" s="208"/>
      <c r="R65" s="208"/>
    </row>
    <row r="66" spans="1:18">
      <c r="A66" s="206"/>
      <c r="B66" s="208"/>
      <c r="C66" s="208"/>
      <c r="D66" s="208"/>
      <c r="E66" s="208"/>
      <c r="F66" s="208"/>
      <c r="G66" s="208"/>
      <c r="H66" s="208"/>
      <c r="I66" s="208"/>
      <c r="J66" s="208"/>
      <c r="K66" s="207"/>
      <c r="L66" s="243"/>
      <c r="M66" s="207"/>
      <c r="N66" s="208"/>
      <c r="O66" s="208"/>
      <c r="P66" s="208"/>
      <c r="Q66" s="208"/>
      <c r="R66" s="208"/>
    </row>
    <row r="67" spans="1:18">
      <c r="A67" s="206"/>
      <c r="B67" s="208"/>
      <c r="C67" s="208"/>
      <c r="D67" s="208"/>
      <c r="E67" s="208"/>
      <c r="F67" s="208"/>
      <c r="G67" s="208"/>
      <c r="H67" s="208"/>
      <c r="I67" s="208"/>
      <c r="J67" s="208"/>
      <c r="K67" s="207"/>
      <c r="L67" s="243"/>
      <c r="M67" s="207"/>
      <c r="N67" s="208"/>
      <c r="O67" s="208"/>
      <c r="P67" s="208"/>
      <c r="Q67" s="208"/>
      <c r="R67" s="208"/>
    </row>
    <row r="68" spans="1:18">
      <c r="A68" s="206"/>
      <c r="B68" s="208"/>
      <c r="C68" s="208"/>
      <c r="D68" s="208"/>
      <c r="E68" s="208"/>
      <c r="F68" s="208"/>
      <c r="G68" s="208"/>
      <c r="H68" s="208"/>
      <c r="I68" s="208"/>
      <c r="J68" s="208"/>
      <c r="K68" s="207"/>
      <c r="L68" s="243"/>
      <c r="M68" s="207"/>
      <c r="N68" s="208"/>
      <c r="O68" s="208"/>
      <c r="P68" s="208"/>
      <c r="Q68" s="208"/>
      <c r="R68" s="208"/>
    </row>
    <row r="69" spans="1:18">
      <c r="A69" s="206"/>
      <c r="B69" s="208"/>
      <c r="C69" s="208"/>
      <c r="D69" s="208"/>
      <c r="E69" s="208"/>
      <c r="F69" s="208"/>
      <c r="G69" s="208"/>
      <c r="H69" s="208"/>
      <c r="I69" s="208"/>
      <c r="J69" s="208"/>
      <c r="K69" s="207"/>
      <c r="L69" s="243"/>
      <c r="M69" s="207"/>
      <c r="N69" s="208"/>
      <c r="O69" s="208"/>
      <c r="P69" s="208"/>
      <c r="Q69" s="208"/>
      <c r="R69" s="208"/>
    </row>
    <row r="70" spans="1:18">
      <c r="A70" s="206"/>
      <c r="B70" s="208"/>
      <c r="C70" s="208"/>
      <c r="D70" s="208"/>
      <c r="E70" s="208"/>
      <c r="F70" s="208"/>
      <c r="G70" s="208"/>
      <c r="H70" s="208"/>
      <c r="I70" s="208"/>
      <c r="J70" s="208"/>
      <c r="K70" s="207"/>
      <c r="L70" s="243"/>
      <c r="M70" s="207"/>
      <c r="N70" s="208"/>
      <c r="O70" s="208"/>
      <c r="P70" s="208"/>
      <c r="Q70" s="208"/>
      <c r="R70" s="208"/>
    </row>
    <row r="71" spans="1:18">
      <c r="A71" s="206"/>
      <c r="B71" s="208"/>
      <c r="C71" s="208"/>
      <c r="D71" s="208"/>
      <c r="E71" s="208"/>
      <c r="F71" s="208"/>
      <c r="G71" s="208"/>
      <c r="H71" s="208"/>
      <c r="I71" s="208"/>
      <c r="J71" s="208"/>
      <c r="K71" s="207"/>
      <c r="L71" s="243"/>
      <c r="M71" s="207"/>
      <c r="N71" s="208"/>
      <c r="O71" s="208"/>
      <c r="P71" s="208"/>
      <c r="Q71" s="208"/>
      <c r="R71" s="208"/>
    </row>
    <row r="72" spans="1:18">
      <c r="A72" s="245"/>
      <c r="B72" s="208"/>
      <c r="C72" s="208"/>
      <c r="D72" s="208"/>
      <c r="E72" s="208"/>
      <c r="F72" s="208"/>
      <c r="G72" s="208"/>
      <c r="H72" s="208"/>
      <c r="I72" s="208"/>
      <c r="J72" s="208"/>
      <c r="K72" s="207"/>
      <c r="L72" s="246"/>
      <c r="M72" s="207"/>
      <c r="N72" s="208"/>
      <c r="O72" s="208"/>
      <c r="P72" s="208"/>
      <c r="Q72" s="208"/>
      <c r="R72" s="208"/>
    </row>
  </sheetData>
  <mergeCells count="4">
    <mergeCell ref="A3:L3"/>
    <mergeCell ref="A2:L2"/>
    <mergeCell ref="A1:L1"/>
    <mergeCell ref="B4:K4"/>
  </mergeCells>
  <pageMargins left="0.511811024" right="0.511811024" top="0.78740157499999996" bottom="0.78740157499999996" header="0.31496062000000002" footer="0.31496062000000002"/>
  <drawing r:id="rId1"/>
</worksheet>
</file>

<file path=xl/worksheets/sheet4.xml><?xml version="1.0" encoding="utf-8"?>
<worksheet xmlns="http://schemas.openxmlformats.org/spreadsheetml/2006/main" xmlns:r="http://schemas.openxmlformats.org/officeDocument/2006/relationships">
  <dimension ref="A1:H21"/>
  <sheetViews>
    <sheetView workbookViewId="0">
      <selection activeCell="C8" sqref="C8"/>
    </sheetView>
  </sheetViews>
  <sheetFormatPr defaultColWidth="17.28515625" defaultRowHeight="15" customHeight="1"/>
  <cols>
    <col min="1" max="1" width="15.85546875" customWidth="1"/>
    <col min="2" max="2" width="3.7109375" customWidth="1"/>
    <col min="3" max="7" width="15.7109375" customWidth="1"/>
    <col min="8" max="8" width="16.28515625" customWidth="1"/>
  </cols>
  <sheetData>
    <row r="1" spans="1:8" ht="90.75" customHeight="1">
      <c r="A1" s="606" t="e">
        <f ca="1">image("http://gdurl.com/nRL4",2)</f>
        <v>#NAME?</v>
      </c>
      <c r="B1" s="549"/>
      <c r="C1" s="549"/>
      <c r="D1" s="549"/>
      <c r="E1" s="549"/>
      <c r="F1" s="549"/>
      <c r="G1" s="549"/>
      <c r="H1" s="549"/>
    </row>
    <row r="2" spans="1:8" ht="62.25" customHeight="1">
      <c r="A2" s="604" t="s">
        <v>1632</v>
      </c>
      <c r="B2" s="549"/>
      <c r="C2" s="549"/>
      <c r="D2" s="549"/>
      <c r="E2" s="549"/>
      <c r="F2" s="549"/>
      <c r="G2" s="549"/>
      <c r="H2" s="549"/>
    </row>
    <row r="3" spans="1:8" ht="20.25" customHeight="1">
      <c r="A3" s="614" t="s">
        <v>83</v>
      </c>
      <c r="B3" s="577"/>
      <c r="C3" s="577"/>
      <c r="D3" s="577"/>
      <c r="E3" s="577"/>
      <c r="F3" s="577"/>
      <c r="G3" s="577"/>
      <c r="H3" s="551"/>
    </row>
    <row r="4" spans="1:8" ht="20.25" customHeight="1">
      <c r="A4" s="59"/>
      <c r="B4" s="9"/>
      <c r="C4" s="9"/>
      <c r="D4" s="9"/>
      <c r="E4" s="9"/>
      <c r="F4" s="9"/>
      <c r="G4" s="9"/>
      <c r="H4" s="9"/>
    </row>
    <row r="5" spans="1:8" ht="23.25" customHeight="1">
      <c r="A5" s="60"/>
      <c r="B5" s="60"/>
      <c r="C5" s="616" t="s">
        <v>107</v>
      </c>
      <c r="D5" s="551"/>
      <c r="E5" s="616" t="s">
        <v>37</v>
      </c>
      <c r="F5" s="551"/>
      <c r="G5" s="9"/>
      <c r="H5" s="9"/>
    </row>
    <row r="6" spans="1:8" ht="20.25" customHeight="1">
      <c r="A6" s="62" t="s">
        <v>111</v>
      </c>
      <c r="B6" s="63"/>
      <c r="C6" s="64" t="s">
        <v>118</v>
      </c>
      <c r="D6" s="65" t="s">
        <v>123</v>
      </c>
      <c r="E6" s="64" t="s">
        <v>118</v>
      </c>
      <c r="F6" s="65" t="s">
        <v>123</v>
      </c>
      <c r="G6" s="9"/>
      <c r="H6" s="9"/>
    </row>
    <row r="7" spans="1:8" ht="18" customHeight="1">
      <c r="A7" s="66" t="s">
        <v>127</v>
      </c>
      <c r="B7" s="67">
        <v>4</v>
      </c>
      <c r="C7" s="68">
        <f>COUNTIF(Indicadores!$L$5:$L$31,Graficos!B7)</f>
        <v>0</v>
      </c>
      <c r="D7" s="70">
        <f t="shared" ref="D7:D11" si="0">C7/$C$12</f>
        <v>0</v>
      </c>
      <c r="E7" s="71">
        <f>COUNTIF(Dimensões!$I$5:$I$85,Graficos!B7)</f>
        <v>21</v>
      </c>
      <c r="F7" s="72">
        <f t="shared" ref="F7:F11" si="1">E7/$E$12</f>
        <v>0.25925925925925924</v>
      </c>
      <c r="G7" s="9"/>
      <c r="H7" s="9"/>
    </row>
    <row r="8" spans="1:8" ht="18" customHeight="1">
      <c r="A8" s="73" t="s">
        <v>172</v>
      </c>
      <c r="B8" s="67">
        <v>3</v>
      </c>
      <c r="C8" s="74">
        <f>COUNTIF(Indicadores!$L$5:$L$31,Graficos!B8)</f>
        <v>0</v>
      </c>
      <c r="D8" s="75">
        <f t="shared" si="0"/>
        <v>0</v>
      </c>
      <c r="E8" s="77">
        <f>COUNTIF(Dimensões!$I$5:$I$85,Graficos!B8)</f>
        <v>20</v>
      </c>
      <c r="F8" s="78">
        <f t="shared" si="1"/>
        <v>0.24691358024691357</v>
      </c>
      <c r="G8" s="9"/>
      <c r="H8" s="9"/>
    </row>
    <row r="9" spans="1:8" ht="18" customHeight="1">
      <c r="A9" s="73" t="s">
        <v>190</v>
      </c>
      <c r="B9" s="67">
        <v>2</v>
      </c>
      <c r="C9" s="74">
        <f>COUNTIF(Indicadores!$L$5:$L$31,Graficos!B9)</f>
        <v>0</v>
      </c>
      <c r="D9" s="75">
        <f t="shared" si="0"/>
        <v>0</v>
      </c>
      <c r="E9" s="77">
        <f>COUNTIF(Dimensões!$I$5:$I$85,Graficos!B9)</f>
        <v>16</v>
      </c>
      <c r="F9" s="78">
        <f t="shared" si="1"/>
        <v>0.19753086419753085</v>
      </c>
      <c r="G9" s="9"/>
      <c r="H9" s="9"/>
    </row>
    <row r="10" spans="1:8" ht="18" customHeight="1">
      <c r="A10" s="80" t="s">
        <v>197</v>
      </c>
      <c r="B10" s="67">
        <v>1</v>
      </c>
      <c r="C10" s="74">
        <f>COUNTIF(Indicadores!$L$5:$L$31,Graficos!B10)</f>
        <v>1</v>
      </c>
      <c r="D10" s="75">
        <f t="shared" si="0"/>
        <v>1</v>
      </c>
      <c r="E10" s="77">
        <f>COUNTIF(Dimensões!$I$5:$I$85,Graficos!B10)</f>
        <v>13</v>
      </c>
      <c r="F10" s="78">
        <f t="shared" si="1"/>
        <v>0.16049382716049382</v>
      </c>
      <c r="G10" s="9"/>
      <c r="H10" s="9"/>
    </row>
    <row r="11" spans="1:8" ht="18" customHeight="1">
      <c r="A11" s="81" t="s">
        <v>206</v>
      </c>
      <c r="B11" s="67">
        <v>0</v>
      </c>
      <c r="C11" s="83">
        <f>COUNTIF(Indicadores!$L$5:$L$31,Graficos!B11)</f>
        <v>0</v>
      </c>
      <c r="D11" s="84">
        <f t="shared" si="0"/>
        <v>0</v>
      </c>
      <c r="E11" s="85">
        <f>COUNTIF(Dimensões!$I$5:$I$85,Graficos!B11)</f>
        <v>11</v>
      </c>
      <c r="F11" s="86">
        <f t="shared" si="1"/>
        <v>0.13580246913580246</v>
      </c>
      <c r="G11" s="9"/>
      <c r="H11" s="9"/>
    </row>
    <row r="12" spans="1:8" ht="22.5" customHeight="1">
      <c r="A12" s="87" t="s">
        <v>230</v>
      </c>
      <c r="B12" s="87"/>
      <c r="C12" s="89">
        <f t="shared" ref="C12:F12" si="2">SUM(C7:C11)</f>
        <v>1</v>
      </c>
      <c r="D12" s="90">
        <f t="shared" si="2"/>
        <v>1</v>
      </c>
      <c r="E12" s="89">
        <f t="shared" si="2"/>
        <v>81</v>
      </c>
      <c r="F12" s="90">
        <f t="shared" si="2"/>
        <v>1</v>
      </c>
      <c r="G12" s="9"/>
      <c r="H12" s="9"/>
    </row>
    <row r="13" spans="1:8" ht="12.75" customHeight="1">
      <c r="A13" s="9"/>
      <c r="B13" s="9"/>
      <c r="C13" s="9"/>
      <c r="D13" s="9"/>
      <c r="E13" s="9"/>
      <c r="F13" s="9"/>
      <c r="G13" s="9"/>
      <c r="H13" s="9"/>
    </row>
    <row r="14" spans="1:8" ht="12.75" customHeight="1">
      <c r="A14" s="9"/>
      <c r="B14" s="9"/>
      <c r="C14" s="9"/>
      <c r="D14" s="9"/>
      <c r="E14" s="9"/>
      <c r="F14" s="9"/>
      <c r="G14" s="9"/>
      <c r="H14" s="9"/>
    </row>
    <row r="15" spans="1:8" ht="12.75" customHeight="1">
      <c r="A15" s="9"/>
      <c r="B15" s="9"/>
      <c r="C15" s="9"/>
      <c r="D15" s="9"/>
      <c r="E15" s="9"/>
      <c r="F15" s="9"/>
      <c r="G15" s="9"/>
      <c r="H15" s="9"/>
    </row>
    <row r="16" spans="1:8" ht="12.75" customHeight="1">
      <c r="A16" s="9"/>
      <c r="B16" s="9"/>
      <c r="C16" s="9"/>
      <c r="D16" s="9"/>
      <c r="E16" s="9"/>
      <c r="F16" s="9"/>
      <c r="G16" s="9"/>
      <c r="H16" s="9"/>
    </row>
    <row r="17" spans="1:8" ht="12.75" customHeight="1">
      <c r="A17" s="9"/>
      <c r="B17" s="9"/>
      <c r="C17" s="9"/>
      <c r="D17" s="9"/>
      <c r="E17" s="9"/>
      <c r="F17" s="9"/>
      <c r="G17" s="9"/>
      <c r="H17" s="9"/>
    </row>
    <row r="18" spans="1:8" ht="12.75" customHeight="1">
      <c r="A18" s="9"/>
      <c r="B18" s="9"/>
      <c r="C18" s="9"/>
      <c r="D18" s="9"/>
      <c r="E18" s="9"/>
      <c r="F18" s="9"/>
      <c r="G18" s="9"/>
      <c r="H18" s="9"/>
    </row>
    <row r="19" spans="1:8" ht="12.75" customHeight="1">
      <c r="A19" s="9"/>
      <c r="B19" s="9"/>
      <c r="C19" s="9"/>
      <c r="D19" s="9"/>
      <c r="E19" s="9"/>
      <c r="F19" s="9"/>
      <c r="G19" s="9"/>
      <c r="H19" s="9"/>
    </row>
    <row r="20" spans="1:8" ht="12.75" customHeight="1">
      <c r="A20" s="9"/>
      <c r="B20" s="9"/>
      <c r="C20" s="9"/>
      <c r="D20" s="9"/>
      <c r="E20" s="9"/>
      <c r="F20" s="9"/>
      <c r="G20" s="9"/>
      <c r="H20" s="9"/>
    </row>
    <row r="21" spans="1:8" ht="12.75" customHeight="1">
      <c r="A21" s="9"/>
      <c r="B21" s="9"/>
      <c r="C21" s="9"/>
      <c r="D21" s="9"/>
      <c r="E21" s="9"/>
      <c r="F21" s="9"/>
      <c r="G21" s="9"/>
      <c r="H21" s="9"/>
    </row>
  </sheetData>
  <mergeCells count="5">
    <mergeCell ref="C5:D5"/>
    <mergeCell ref="E5:F5"/>
    <mergeCell ref="A3:H3"/>
    <mergeCell ref="A2:H2"/>
    <mergeCell ref="A1:H1"/>
  </mergeCells>
  <pageMargins left="0.511811024" right="0.511811024" top="0.78740157499999996" bottom="0.78740157499999996" header="0.31496062000000002" footer="0.31496062000000002"/>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4</vt:i4>
      </vt:variant>
    </vt:vector>
  </HeadingPairs>
  <TitlesOfParts>
    <vt:vector size="4" baseType="lpstr">
      <vt:lpstr>Critérios</vt:lpstr>
      <vt:lpstr>Dimensões</vt:lpstr>
      <vt:lpstr>Indicadores</vt:lpstr>
      <vt:lpstr>Graficos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RAQUEL DE OLIVEIRA MIRANDA SIMOES</dc:creator>
  <cp:lastModifiedBy>asalles</cp:lastModifiedBy>
  <cp:lastPrinted>2015-10-16T16:35:36Z</cp:lastPrinted>
  <dcterms:created xsi:type="dcterms:W3CDTF">2015-09-14T18:24:38Z</dcterms:created>
  <dcterms:modified xsi:type="dcterms:W3CDTF">2015-10-26T11:03:51Z</dcterms:modified>
</cp:coreProperties>
</file>